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822" firstSheet="1" activeTab="1"/>
  </bookViews>
  <sheets>
    <sheet name="2.1 Stafróf" sheetId="1" r:id="rId1"/>
    <sheet name="2.2 Listi" sheetId="2" r:id="rId2"/>
    <sheet name="2.3 Kerfi" sheetId="3" r:id="rId3"/>
    <sheet name="3.1 Yfirlit " sheetId="4" r:id="rId4"/>
    <sheet name="3.2 Efnah." sheetId="5" r:id="rId5"/>
    <sheet name="3.3 Sjóðs. " sheetId="6" r:id="rId6"/>
    <sheet name="4.1. Samtryggingard." sheetId="7" r:id="rId7"/>
    <sheet name="4.2 Kennitölur (samtr)" sheetId="8" r:id="rId8"/>
    <sheet name="5.1. Séreignard." sheetId="9" r:id="rId9"/>
    <sheet name="5.2 Kennitölur (séreign)" sheetId="10" r:id="rId10"/>
    <sheet name="6.1. Aðrar fjárf." sheetId="11" r:id="rId11"/>
    <sheet name="7.1 Séreign þróun" sheetId="12" r:id="rId12"/>
  </sheets>
  <definedNames>
    <definedName name="_xlnm.Print_Area" localSheetId="7">'4.2 Kennitölur (samtr)'!$A$1:$BO$50</definedName>
    <definedName name="_xlnm.Print_Area" localSheetId="9">'5.2 Kennitölur (séreign)'!$A$1:$AT$49</definedName>
    <definedName name="_xlnm.Print_Area" localSheetId="10">'6.1. Aðrar fjárf.'!$A$1:$CJ$37</definedName>
    <definedName name="_xlnm.Print_Titles" localSheetId="3">'3.1 Yfirlit '!$A:$A</definedName>
    <definedName name="_xlnm.Print_Titles" localSheetId="4">'3.2 Efnah.'!$A:$A</definedName>
    <definedName name="_xlnm.Print_Titles" localSheetId="5">'3.3 Sjóðs. '!$A:$A</definedName>
    <definedName name="_xlnm.Print_Titles" localSheetId="6">'4.1. Samtryggingard.'!$A:$A,'4.1. Samtryggingard.'!$1:$4</definedName>
    <definedName name="_xlnm.Print_Titles" localSheetId="7">'4.2 Kennitölur (samtr)'!$A:$B</definedName>
    <definedName name="_xlnm.Print_Titles" localSheetId="8">'5.1. Séreignard.'!$A:$A,'5.1. Séreignard.'!$1:$5</definedName>
    <definedName name="_xlnm.Print_Titles" localSheetId="9">'5.2 Kennitölur (séreign)'!$A:$B</definedName>
    <definedName name="_xlnm.Print_Titles" localSheetId="10">'6.1. Aðrar fjárf.'!$A:$B</definedName>
  </definedNames>
  <calcPr fullCalcOnLoad="1"/>
</workbook>
</file>

<file path=xl/sharedStrings.xml><?xml version="1.0" encoding="utf-8"?>
<sst xmlns="http://schemas.openxmlformats.org/spreadsheetml/2006/main" count="2693" uniqueCount="575">
  <si>
    <t xml:space="preserve">Númer í </t>
  </si>
  <si>
    <t>stærðarröð</t>
  </si>
  <si>
    <t>Eftirlaunasj. slökkviliðsmanna á Keflavíkurfl.v.</t>
  </si>
  <si>
    <t>Eftirlaunasj. starfsm. Hafnarfjarðarkaupstaðar</t>
  </si>
  <si>
    <t>Eftirlaunasj. starfsmanna Íslandsbanka hf.</t>
  </si>
  <si>
    <t>Eftirlaunasjóður FÍA</t>
  </si>
  <si>
    <t>Eftirlaunasjóður Reykjanesbæjar</t>
  </si>
  <si>
    <t>Eftirlaunasjóður Sláturf. Suðurlands</t>
  </si>
  <si>
    <t>Eftirlaunasjóður starfsm. Útvegsbanka Ísl.</t>
  </si>
  <si>
    <t>Eftirlaunasjóður starfsmanna Olíuverslunar Ísl.</t>
  </si>
  <si>
    <t>Frjálsi lífeyrissjóðurinn</t>
  </si>
  <si>
    <t>Íslenski lífeyrissjóðurinn</t>
  </si>
  <si>
    <t>Lífeyrissj. starfsm. Áburðarverksmiðju ríkisins</t>
  </si>
  <si>
    <t>Lífeyrissjóður Akraneskaupstaðar</t>
  </si>
  <si>
    <t>Lífeyrissjóður Austurlands</t>
  </si>
  <si>
    <t>Lífeyrissjóður bankamanna</t>
  </si>
  <si>
    <t>Lífeyrissjóður Bolungarvíkur</t>
  </si>
  <si>
    <t>Lífeyrissjóður bænda</t>
  </si>
  <si>
    <t>Lífeyrissjóður Eimskipafélags Íslands hf.</t>
  </si>
  <si>
    <t>Lífeyrissjóður Flugvirkjafélags Íslands</t>
  </si>
  <si>
    <t>Lífeyrissjóður hjúkrunarfræðinga</t>
  </si>
  <si>
    <t>Lífeyrissjóður lækna</t>
  </si>
  <si>
    <t xml:space="preserve">Lífeyrissjóður Mjólkursamsölunnar               </t>
  </si>
  <si>
    <t>Lífeyrissjóður Neskaupstaðar</t>
  </si>
  <si>
    <t>Lífeyrissjóður Norðurlands</t>
  </si>
  <si>
    <t>Lífeyrissjóður Rangæinga</t>
  </si>
  <si>
    <t>Lífeyrissjóður sjómanna</t>
  </si>
  <si>
    <t>Lífeyrissjóður starfsm. Akureyrarbæjar</t>
  </si>
  <si>
    <t>Lífeyrissjóður starfsm. Búnaðarbanka Íslands hf.</t>
  </si>
  <si>
    <t>Lífeyrissjóður starfsm. Reykjavíkurapóteks</t>
  </si>
  <si>
    <t>Lífeyrissjóður starfsm. Vestmannaeyjabæjar</t>
  </si>
  <si>
    <t>Lífeyrissjóður starfsmanna Reykjavíkurborgar</t>
  </si>
  <si>
    <t xml:space="preserve">Lífeyrissjóður starfsmanna ríkisins </t>
  </si>
  <si>
    <t>Lífeyrissjóður starfsmanna sveitarfélaga</t>
  </si>
  <si>
    <t>Lífeyrissjóður Suðurlands</t>
  </si>
  <si>
    <t>Lífeyrissjóður Suðurnesja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</si>
  <si>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</si>
  <si>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</si>
  <si>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</si>
  <si>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</si>
  <si>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</si>
  <si>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 Vesturlands</t>
  </si>
  <si>
    <t>Lífeyrissjóðurinn Framsýn</t>
  </si>
  <si>
    <t>Lífeyrissjóðurinn Lífiðn</t>
  </si>
  <si>
    <t>Lífeyrissjóðurinn Skjöldur</t>
  </si>
  <si>
    <t>Sameinaði lífeyrissjóðurinn</t>
  </si>
  <si>
    <t>Samvinnulífeyrissjóðurinn</t>
  </si>
  <si>
    <t>Séreignalífeyrissjóðurinn</t>
  </si>
  <si>
    <t>Söfnunarsjóður lífeyrisréttinda</t>
  </si>
  <si>
    <t xml:space="preserve">Hrein eign </t>
  </si>
  <si>
    <t>Aukning</t>
  </si>
  <si>
    <t>þús.kr.</t>
  </si>
  <si>
    <t>%</t>
  </si>
  <si>
    <t>3)</t>
  </si>
  <si>
    <t>1)</t>
  </si>
  <si>
    <t>2) 4)</t>
  </si>
  <si>
    <t>2)</t>
  </si>
  <si>
    <t>Skýringar:</t>
  </si>
  <si>
    <t xml:space="preserve">1) Ábyrgð annarra á skuldbindingum.  2) Tekur ekki við iðgjöldum. </t>
  </si>
  <si>
    <t xml:space="preserve"> </t>
  </si>
  <si>
    <t>1) 2)</t>
  </si>
  <si>
    <t>Samtals:</t>
  </si>
  <si>
    <t>Hlutfalls-</t>
  </si>
  <si>
    <t>Aldursháð-</t>
  </si>
  <si>
    <t>Fjárhæðir í þús. kr.</t>
  </si>
  <si>
    <t xml:space="preserve">Stigakerfi </t>
  </si>
  <si>
    <t xml:space="preserve">kerfi </t>
  </si>
  <si>
    <t xml:space="preserve">Séreign </t>
  </si>
  <si>
    <t xml:space="preserve">Samtals:   </t>
  </si>
  <si>
    <t>Stigakerfi:  Iðgjöld eru umreiknuð í stig, óháð aldri sjóðfélagans.  Hlutfallskerfi:  Lífeyrir er hlutfall af launum.</t>
  </si>
  <si>
    <t>Aldursháð kerfi: Iðgjöld gefa mismunandi stig eftir aldri sjóðfélagans.</t>
  </si>
  <si>
    <t>Lífeyrissj.</t>
  </si>
  <si>
    <t>Sameinaði</t>
  </si>
  <si>
    <t>Söfnunarsj.</t>
  </si>
  <si>
    <t>Samvinnu-</t>
  </si>
  <si>
    <t xml:space="preserve">Frjálsi </t>
  </si>
  <si>
    <t>Eftirlauna-</t>
  </si>
  <si>
    <t>Lífeyris-</t>
  </si>
  <si>
    <t xml:space="preserve">Íslenski </t>
  </si>
  <si>
    <t>Eftirlaunasj.</t>
  </si>
  <si>
    <t>Séreigna-</t>
  </si>
  <si>
    <t xml:space="preserve">ALLIR   </t>
  </si>
  <si>
    <t>verslunar-</t>
  </si>
  <si>
    <t>st. ríkisins</t>
  </si>
  <si>
    <t>Framsýn</t>
  </si>
  <si>
    <t>lífeyris-</t>
  </si>
  <si>
    <t>sjómanna</t>
  </si>
  <si>
    <t>Norður-</t>
  </si>
  <si>
    <t>banka-</t>
  </si>
  <si>
    <t>Lífiðn</t>
  </si>
  <si>
    <t>Austur-</t>
  </si>
  <si>
    <t xml:space="preserve">Vest- </t>
  </si>
  <si>
    <t xml:space="preserve">lækna </t>
  </si>
  <si>
    <t xml:space="preserve">bænda </t>
  </si>
  <si>
    <t>Suður-</t>
  </si>
  <si>
    <t>verk-</t>
  </si>
  <si>
    <t>Vestmanna-</t>
  </si>
  <si>
    <t>lífeyrissj.</t>
  </si>
  <si>
    <t>hjúkrunar-</t>
  </si>
  <si>
    <t>Vestur-</t>
  </si>
  <si>
    <t>sjóður</t>
  </si>
  <si>
    <t>sjóðurinn</t>
  </si>
  <si>
    <t>starfsm.</t>
  </si>
  <si>
    <t>Suðurlands</t>
  </si>
  <si>
    <t>Eimskipa-</t>
  </si>
  <si>
    <t>Flugvirkjaf.</t>
  </si>
  <si>
    <t>Bolungar-</t>
  </si>
  <si>
    <t>Rangæinga</t>
  </si>
  <si>
    <t>slökkvilm. á</t>
  </si>
  <si>
    <t>stm. Kópa-</t>
  </si>
  <si>
    <t>Hafnarfj-</t>
  </si>
  <si>
    <t>Mjólkur-</t>
  </si>
  <si>
    <t>Tannl.fél.</t>
  </si>
  <si>
    <t>stm. Akur-</t>
  </si>
  <si>
    <t>Akranes-</t>
  </si>
  <si>
    <t>Sláturfélags</t>
  </si>
  <si>
    <t>stm. Olíu-</t>
  </si>
  <si>
    <t>Reykjanes-</t>
  </si>
  <si>
    <t>Neskaup-</t>
  </si>
  <si>
    <t xml:space="preserve">starfsm. </t>
  </si>
  <si>
    <t>stm. Vestm-</t>
  </si>
  <si>
    <t>stm. Rvík.-</t>
  </si>
  <si>
    <t>LÍFEYRISSJ.</t>
  </si>
  <si>
    <t>með ábyrgð</t>
  </si>
  <si>
    <t>án ábyrgðar</t>
  </si>
  <si>
    <t xml:space="preserve">manna  </t>
  </si>
  <si>
    <t>Alþingis-</t>
  </si>
  <si>
    <t>Ráðherra-</t>
  </si>
  <si>
    <t xml:space="preserve">lands </t>
  </si>
  <si>
    <t>réttinda</t>
  </si>
  <si>
    <t>manna</t>
  </si>
  <si>
    <t>firðinga</t>
  </si>
  <si>
    <t xml:space="preserve">nesja </t>
  </si>
  <si>
    <t>fræðinga</t>
  </si>
  <si>
    <t xml:space="preserve">eyja </t>
  </si>
  <si>
    <t xml:space="preserve">fræðinga </t>
  </si>
  <si>
    <t>FÍA</t>
  </si>
  <si>
    <t>Búnaðarb.</t>
  </si>
  <si>
    <t xml:space="preserve">sjóðurinn </t>
  </si>
  <si>
    <t>Reykjavb.</t>
  </si>
  <si>
    <t>félags Ísl.</t>
  </si>
  <si>
    <t>Íslandsb. hf.</t>
  </si>
  <si>
    <t>Íslands</t>
  </si>
  <si>
    <t>víkur</t>
  </si>
  <si>
    <t>sveitarfél.</t>
  </si>
  <si>
    <t>Keflavflugv.</t>
  </si>
  <si>
    <t xml:space="preserve">kaupst. </t>
  </si>
  <si>
    <t>samsöl.</t>
  </si>
  <si>
    <t xml:space="preserve">Íslands </t>
  </si>
  <si>
    <t>eyrarbæjar</t>
  </si>
  <si>
    <t>kaupst.</t>
  </si>
  <si>
    <t>versl. Ísl.</t>
  </si>
  <si>
    <t xml:space="preserve">bæjar  </t>
  </si>
  <si>
    <t>Áburðarv.</t>
  </si>
  <si>
    <t>Skjöldur</t>
  </si>
  <si>
    <t xml:space="preserve">staðar </t>
  </si>
  <si>
    <t>Útvegsb. Ísl.</t>
  </si>
  <si>
    <t>eyjabæjar</t>
  </si>
  <si>
    <t xml:space="preserve">apóteks </t>
  </si>
  <si>
    <t xml:space="preserve">SAMTALS  </t>
  </si>
  <si>
    <t>annarra</t>
  </si>
  <si>
    <t>(2)</t>
  </si>
  <si>
    <t>B-deild</t>
  </si>
  <si>
    <t>A-deild</t>
  </si>
  <si>
    <t>mannadeild</t>
  </si>
  <si>
    <t>deild</t>
  </si>
  <si>
    <t>(3)</t>
  </si>
  <si>
    <t>(4)</t>
  </si>
  <si>
    <t>Stigadeild</t>
  </si>
  <si>
    <t>Aldurstengd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</si>
  <si>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</si>
  <si>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</si>
  <si>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</si>
  <si>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</si>
  <si>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</si>
  <si>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</si>
  <si>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</si>
  <si>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</si>
  <si>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</si>
  <si>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</si>
  <si>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</si>
  <si>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</si>
  <si>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</si>
  <si>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</si>
  <si>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</si>
  <si>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</si>
  <si>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</si>
  <si>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</si>
  <si>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</si>
  <si>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</si>
  <si>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</si>
  <si>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</si>
  <si>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</si>
  <si>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</si>
  <si>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</si>
  <si>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</si>
  <si>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</si>
  <si>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Deild I</t>
  </si>
  <si>
    <t>Deild II</t>
  </si>
  <si>
    <t>(33)</t>
  </si>
  <si>
    <t>(34)</t>
  </si>
  <si>
    <t>(35)</t>
  </si>
  <si>
    <t>(36)</t>
  </si>
  <si>
    <t>(37)</t>
  </si>
  <si>
    <t>V-deild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</si>
  <si>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</si>
  <si>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</si>
  <si>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</si>
  <si>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</si>
  <si>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</si>
  <si>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</si>
  <si>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</si>
  <si>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</si>
  <si>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</si>
  <si>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</si>
  <si>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</si>
  <si>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</si>
  <si>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</si>
  <si>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Hrein raunávöxtun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</si>
  <si>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</si>
  <si>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</si>
  <si>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</si>
  <si>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</si>
  <si>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</si>
  <si>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</si>
  <si>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>Eignir í ísl. kr. (%)</t>
  </si>
  <si>
    <t>Eignir í erl. gjaldmiðlum (%)</t>
  </si>
  <si>
    <t>Ellilífeyrir  (%)</t>
  </si>
  <si>
    <t>Örorkulífeyrir  (%)</t>
  </si>
  <si>
    <t>Makalífeyrir  (%)</t>
  </si>
  <si>
    <t>Barnalífeyrir  (%)</t>
  </si>
  <si>
    <t xml:space="preserve">         Samtals: </t>
  </si>
  <si>
    <t>Ýmsar athugasemdir:</t>
  </si>
  <si>
    <t xml:space="preserve">EIGNIR </t>
  </si>
  <si>
    <t xml:space="preserve">   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</si>
  <si>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</si>
  <si>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</si>
  <si>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</si>
  <si>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</si>
  <si>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</si>
  <si>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</si>
  <si>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</si>
  <si>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</si>
  <si>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</si>
  <si>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</si>
  <si>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</si>
  <si>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</si>
  <si>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</si>
  <si>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</si>
  <si>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</si>
  <si>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</si>
  <si>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</si>
  <si>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</si>
  <si>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</si>
  <si>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</si>
  <si>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</si>
  <si>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</si>
  <si>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</si>
  <si>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</si>
  <si>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</si>
  <si>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r>
      <t xml:space="preserve">   </t>
    </r>
    <r>
      <rPr>
        <b/>
        <sz val="10"/>
        <rFont val="Times New Roman"/>
        <family val="1"/>
      </rPr>
      <t>Fyrirfr.gr.kostn.og áfallnar tekjur</t>
    </r>
  </si>
  <si>
    <t xml:space="preserve">EIGNIR SAMTALS      </t>
  </si>
  <si>
    <t>SKULDIR</t>
  </si>
  <si>
    <r>
      <t xml:space="preserve">  </t>
    </r>
    <r>
      <rPr>
        <b/>
        <sz val="10"/>
        <rFont val="Times New Roman"/>
        <family val="1"/>
      </rPr>
      <t>Skuldbindingar</t>
    </r>
  </si>
  <si>
    <r>
      <t xml:space="preserve">   </t>
    </r>
    <r>
      <rPr>
        <b/>
        <sz val="10"/>
        <rFont val="Times New Roman"/>
        <family val="1"/>
      </rPr>
      <t>Viðskiptaskuldir</t>
    </r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</si>
  <si>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</si>
  <si>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</si>
  <si>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</si>
  <si>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</si>
  <si>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</si>
  <si>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</si>
  <si>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</si>
  <si>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</si>
  <si>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</si>
  <si>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</si>
  <si>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</si>
  <si>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</si>
  <si>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</si>
  <si>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</si>
  <si>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</si>
  <si>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</si>
  <si>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</si>
  <si>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</si>
  <si>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</si>
  <si>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</si>
  <si>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</si>
  <si>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</si>
  <si>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</si>
  <si>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</si>
  <si>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</si>
  <si>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</si>
  <si>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</si>
  <si>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</si>
  <si>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</si>
  <si>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</si>
  <si>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</si>
  <si>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</si>
  <si>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</si>
  <si>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</si>
  <si>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</si>
  <si>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</si>
  <si>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</si>
  <si>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</si>
  <si>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</si>
  <si>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</si>
  <si>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</si>
  <si>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</si>
  <si>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</si>
  <si>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</si>
  <si>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</si>
  <si>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</si>
  <si>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</si>
  <si>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 gjöld</t>
  </si>
  <si>
    <t>Matsbreytingar</t>
  </si>
  <si>
    <t>Hækkun á hreinni eign á árinu</t>
  </si>
  <si>
    <t>Hrein eign frá fyrra ári</t>
  </si>
  <si>
    <t>HREIN EIGN Í ÁRSLOK</t>
  </si>
  <si>
    <t>TIL GREIÐSLU LÍFEYRIS</t>
  </si>
  <si>
    <t>Fjárhæðir í millj. kr.</t>
  </si>
  <si>
    <t>Ríkisvíxlar og skuldabréf</t>
  </si>
  <si>
    <t xml:space="preserve">Önnur verðbréf </t>
  </si>
  <si>
    <t>Önnur skuldabréf</t>
  </si>
  <si>
    <t>Hlutabréf</t>
  </si>
  <si>
    <t>Skráð hlutabréf</t>
  </si>
  <si>
    <t>Útreikningur á kennitölum:</t>
  </si>
  <si>
    <t>Meðalstaða eigna við útreikn.</t>
  </si>
  <si>
    <t>i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</si>
  <si>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</si>
  <si>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</si>
  <si>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</si>
  <si>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</si>
  <si>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</si>
  <si>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</si>
  <si>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</si>
  <si>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</si>
  <si>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</si>
  <si>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</si>
  <si>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</si>
  <si>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</si>
  <si>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</si>
  <si>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</si>
  <si>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</si>
  <si>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</si>
  <si>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</si>
  <si>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</si>
  <si>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</si>
  <si>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</si>
  <si>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</si>
  <si>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</si>
  <si>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</si>
  <si>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</si>
  <si>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</si>
  <si>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</si>
  <si>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</si>
  <si>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</si>
  <si>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Hækkun á sjóði og veltiinnlánum</t>
  </si>
  <si>
    <t>Sjóður og veltiinnlán í ársbyrjun</t>
  </si>
  <si>
    <t>Sjóður og veltiinnlán í árslok</t>
  </si>
  <si>
    <t>Ávöxtl. 1</t>
  </si>
  <si>
    <t>Ávöxtl. 2</t>
  </si>
  <si>
    <t>Ávöxtl. 3</t>
  </si>
  <si>
    <t>Líf 1</t>
  </si>
  <si>
    <t>Líf 2</t>
  </si>
  <si>
    <t>Líf 3</t>
  </si>
  <si>
    <t>Tryggingar-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</si>
  <si>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</si>
  <si>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</si>
  <si>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</si>
  <si>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</si>
  <si>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</si>
  <si>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</si>
  <si>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</si>
  <si>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Ævisafn I</t>
  </si>
  <si>
    <t>Ævisafn II</t>
  </si>
  <si>
    <t>Ævisafn III</t>
  </si>
  <si>
    <t>(1)</t>
  </si>
  <si>
    <t>Leið 1</t>
  </si>
  <si>
    <t>Leið 2</t>
  </si>
  <si>
    <t>Safn II</t>
  </si>
  <si>
    <t>Safn I</t>
  </si>
  <si>
    <t>Eftirlaunasjóður slökkviliðsmanna á Keflavíkurflugvelli</t>
  </si>
  <si>
    <t>Eftirlaunasjóður starfsmanna Hafnarfjarðarkaupstaðar</t>
  </si>
  <si>
    <t>Eftirlaunasjóður starfsmanna Íslandsbanka hf.</t>
  </si>
  <si>
    <t>Eftirlaunasjóður Sláturfélags Suðurlands</t>
  </si>
  <si>
    <t>Eftirlaunasjóður starfsmanna Útvegsbanka Íslands</t>
  </si>
  <si>
    <t>Eftirlaunasjóður starfsmanna Olíuverslunar Íslands</t>
  </si>
  <si>
    <t>Lífeyrissjóður starfsmanna Akureyrarbæjar</t>
  </si>
  <si>
    <t>Lífeyrissjóður starfsmanna Búnaðarbanka Íslands hf.</t>
  </si>
  <si>
    <t>Lífeyrissjóður starfsmanna Reykjavíkurapóteks</t>
  </si>
  <si>
    <t>Lífeyrissjóður starfsmanna Vestmannaeyjabæjar</t>
  </si>
  <si>
    <t>Skipting annarra fjárf.</t>
  </si>
  <si>
    <t>Skipting eftir gjaldm.</t>
  </si>
  <si>
    <t>Nafn</t>
  </si>
  <si>
    <t>deilda</t>
  </si>
  <si>
    <t xml:space="preserve">Fjöldi </t>
  </si>
  <si>
    <t>vogsbæjar</t>
  </si>
  <si>
    <t>Lífeyrissjóður starfsm. Kópavogsbæjar</t>
  </si>
  <si>
    <t>Lífeyrissjóður starfsmanna Kópavogsbæjar</t>
  </si>
  <si>
    <t>Lífeyrissjóður starfsmmanna Áburðarverksmiðju ríkisins</t>
  </si>
  <si>
    <r>
      <t xml:space="preserve">SKULDIR SAMTALS    </t>
    </r>
    <r>
      <rPr>
        <i/>
        <sz val="10"/>
        <rFont val="Times New Roman"/>
        <family val="1"/>
      </rPr>
      <t xml:space="preserve">    </t>
    </r>
  </si>
  <si>
    <t/>
  </si>
  <si>
    <t xml:space="preserve">st. ríkisins </t>
  </si>
  <si>
    <t>lands</t>
  </si>
  <si>
    <t>eyja</t>
  </si>
  <si>
    <t>félags Ísl</t>
  </si>
  <si>
    <t xml:space="preserve"> 31.12.2002</t>
  </si>
  <si>
    <t>Framtíðarsýn 1</t>
  </si>
  <si>
    <t>Framtíðarsýn 2</t>
  </si>
  <si>
    <t>Samtrygginga-</t>
  </si>
  <si>
    <t>deild/leið I</t>
  </si>
  <si>
    <t>deild/leið II</t>
  </si>
  <si>
    <t>deild/leið III</t>
  </si>
  <si>
    <t>Ævisafn IV</t>
  </si>
  <si>
    <t>leið I</t>
  </si>
  <si>
    <t>leið II</t>
  </si>
  <si>
    <t>leið III</t>
  </si>
  <si>
    <t xml:space="preserve">deild </t>
  </si>
  <si>
    <t>L-deild</t>
  </si>
  <si>
    <t>Leið I</t>
  </si>
  <si>
    <t>Leið II</t>
  </si>
  <si>
    <t>Leið III</t>
  </si>
  <si>
    <t>kaupstaðar</t>
  </si>
  <si>
    <t>stm. Húsavíkur-</t>
  </si>
  <si>
    <t>Eignir</t>
  </si>
  <si>
    <t>Efnahagsreikningur</t>
  </si>
  <si>
    <t>Sjóðstreymi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</si>
  <si>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</si>
  <si>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</si>
  <si>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</si>
  <si>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</si>
  <si>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Skuldbindingar</t>
  </si>
  <si>
    <t>Áfallinn kostn. og f.fr.innh.tekjur</t>
  </si>
  <si>
    <t>1) 5)</t>
  </si>
  <si>
    <t>Markaðsskuldabréf</t>
  </si>
  <si>
    <t>Samtals</t>
  </si>
  <si>
    <t>Fjárfestingatekjur nettó (F)</t>
  </si>
  <si>
    <t>Rekstrarkostnaður  nettó (K)</t>
  </si>
  <si>
    <t xml:space="preserve"> á ávöxtun (A+B-(F-K))</t>
  </si>
  <si>
    <t>Hækkun vísit. neysluv. 2002 (VNV)          j</t>
  </si>
  <si>
    <t>Hrein raunávöxtun (r)</t>
  </si>
  <si>
    <t>Óefnislegar eignir</t>
  </si>
  <si>
    <t>Fyrirfr.gr.kostn.og áfallnar tekjur</t>
  </si>
  <si>
    <t>Skuldir</t>
  </si>
  <si>
    <t>Hrein eign í árslok</t>
  </si>
  <si>
    <t>Eignir samtals</t>
  </si>
  <si>
    <t>Skuldir samtals</t>
  </si>
  <si>
    <t>lífeyrissjóðurinn</t>
  </si>
  <si>
    <t>Norðurlands</t>
  </si>
  <si>
    <t>Hrein eign til greiðslu lífeyris</t>
  </si>
  <si>
    <t>Allar deildir</t>
  </si>
  <si>
    <t>Eign</t>
  </si>
  <si>
    <t>Aðrir lífeyrissjóðir</t>
  </si>
  <si>
    <t>31.12.2002</t>
  </si>
  <si>
    <t>31.12.2001</t>
  </si>
  <si>
    <t>31.12.2000</t>
  </si>
  <si>
    <t>31.12.1999</t>
  </si>
  <si>
    <t>Sparisjóðir</t>
  </si>
  <si>
    <t>Líftryggingafélög</t>
  </si>
  <si>
    <t>Fjöldi þeirra sem greiddi iðgjöld að meðaltali á árinu</t>
  </si>
  <si>
    <t>Fjöldi þeirra sem fékk að meðaltali greiddan lífeyri á árinu</t>
  </si>
  <si>
    <t xml:space="preserve">    Séreign til viðbótartryggingarverndar*</t>
  </si>
  <si>
    <r>
      <t xml:space="preserve">Lífeyrissjóðir sem störfuðu sem hreinir séreignarsjóðir fyrir gildistöku laga nr. 129/1997 </t>
    </r>
    <r>
      <rPr>
        <b/>
        <vertAlign val="superscript"/>
        <sz val="10"/>
        <rFont val="Times New Roman"/>
        <family val="1"/>
      </rPr>
      <t>(1)</t>
    </r>
  </si>
  <si>
    <t xml:space="preserve">Hrein eign umfram heildarskuldb.       </t>
  </si>
  <si>
    <t xml:space="preserve">Hrein eign umfram áfallnar skuldb.    </t>
  </si>
  <si>
    <t xml:space="preserve">Hrein raunávöxtun                                </t>
  </si>
  <si>
    <t xml:space="preserve">          Samtals:                                       </t>
  </si>
  <si>
    <t xml:space="preserve">          Samtals:                                        </t>
  </si>
  <si>
    <t xml:space="preserve">Fjöldi sjóðfélaga                                    </t>
  </si>
  <si>
    <t xml:space="preserve">Fjöldi lífeyrisþega                                 </t>
  </si>
  <si>
    <t xml:space="preserve">Annar lífeyrir (%)                                  </t>
  </si>
  <si>
    <t xml:space="preserve">Lífeyrisbyrði                                       </t>
  </si>
  <si>
    <t xml:space="preserve">          Samtals:                                      </t>
  </si>
  <si>
    <t xml:space="preserve">Lífeyrisbyrði                                        </t>
  </si>
  <si>
    <t>bók</t>
  </si>
  <si>
    <t>Samtryggingardeildir</t>
  </si>
  <si>
    <t>Skýringar á kennitölum: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</si>
  <si>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</si>
  <si>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</si>
  <si>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</si>
  <si>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</si>
  <si>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8.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</si>
  <si>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</si>
  <si>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</si>
  <si>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 xml:space="preserve">      sjá skýringu í inngangi að kafla 4.</t>
  </si>
  <si>
    <t>sýn 1</t>
  </si>
  <si>
    <t>Framtíðar-</t>
  </si>
  <si>
    <t>sýn 2</t>
  </si>
  <si>
    <t xml:space="preserve">     *Þar af  vegna lágmarksiðgjalds (10%) </t>
  </si>
  <si>
    <r>
      <t>.</t>
    </r>
    <r>
      <rPr>
        <b/>
        <vertAlign val="superscript"/>
        <sz val="10"/>
        <rFont val="Times New Roman"/>
        <family val="1"/>
      </rPr>
      <t>(1)</t>
    </r>
    <r>
      <rPr>
        <sz val="9"/>
        <rFont val="Times New Roman"/>
        <family val="1"/>
      </rPr>
      <t>Séreign til lágmarkstryggingarverndar (bundin séreign)</t>
    </r>
  </si>
  <si>
    <t>Heildarfjöldi rétthafa í lok árs</t>
  </si>
  <si>
    <t>Bankar og verðbréfafyrirtæki</t>
  </si>
  <si>
    <t xml:space="preserve">Yfirlit um breytingu á hreinni </t>
  </si>
  <si>
    <t>eign til greiðslu lífeyris</t>
  </si>
  <si>
    <t>Yfirlit um breytingu á hreinni</t>
  </si>
  <si>
    <t xml:space="preserve">Meðalávöxtun 1999-2003                   </t>
  </si>
  <si>
    <t xml:space="preserve">Meðalávöxtun 1999-2003                 </t>
  </si>
  <si>
    <t xml:space="preserve"> 31.12.2003</t>
  </si>
  <si>
    <t>Afstemming</t>
  </si>
  <si>
    <t>árið 2003</t>
  </si>
  <si>
    <t>Hrein eign</t>
  </si>
  <si>
    <t>Sjóður</t>
  </si>
  <si>
    <t xml:space="preserve"> 1.  Hrein raunávöxtun miðað við vísitölu neysluverðs (2,7% hækkun á árinu 2003)</t>
  </si>
  <si>
    <t xml:space="preserve"> 5.  Meðaltal fjölda sjóðfélaga sem greiddi iðgjald á árinu 2003.</t>
  </si>
  <si>
    <t xml:space="preserve"> 6.  Meðaltal fjölda lífeyrisþega sem fékk greiddan lífeyri á árinu 2003.</t>
  </si>
  <si>
    <t xml:space="preserve"> 9.  Fjárhagsleg staða sjóðsins skv. tryggingafræðilegri úttekt m.v. 31.12.2003. </t>
  </si>
  <si>
    <t xml:space="preserve">10. Fjárhagsleg staða sjóðsins skv. tryggingafræðilegri úttekt m.v. 31.12.2003. </t>
  </si>
  <si>
    <t>-</t>
  </si>
  <si>
    <t>Almenni lífeyrissjóðurinn</t>
  </si>
  <si>
    <t xml:space="preserve">3) Lífeyrissjóðir sem sameinast viðkomandi sjóði árið 2003 eru meðtaldir í árslok.  </t>
  </si>
  <si>
    <t>Óskráðir ríkisvíxlar og skuldabréf</t>
  </si>
  <si>
    <t>Óskráð skuldabréf sveitafélaga</t>
  </si>
  <si>
    <t>Óskráð skuldabréf og víxlar lánastofnana</t>
  </si>
  <si>
    <t>Óskráð önnur verðbréf</t>
  </si>
  <si>
    <t>Fasteignaveðtrygð skuldabréf</t>
  </si>
  <si>
    <t>Fjárfestingar samtals</t>
  </si>
  <si>
    <t xml:space="preserve">   Viðskiptaskuldir</t>
  </si>
  <si>
    <r>
      <t xml:space="preserve">   </t>
    </r>
    <r>
      <rPr>
        <b/>
        <sz val="9"/>
        <rFont val="Times New Roman"/>
        <family val="1"/>
      </rPr>
      <t>Viðskiptaskuldir</t>
    </r>
  </si>
  <si>
    <t>(23)</t>
  </si>
  <si>
    <t>Reikna daglegt gegni</t>
  </si>
  <si>
    <t>Reikna daglegt gengi</t>
  </si>
  <si>
    <t>(42 deildir)</t>
  </si>
  <si>
    <t>Eftirfarandi yfirlit sýnir starfandi lífeyrissjóði í árslok 2003 í stafrófsröð. Um er að ræða 50 lífeyrissjóði.</t>
  </si>
  <si>
    <t>(59 deildir)</t>
  </si>
  <si>
    <t>Hlutdeildarskírteini verðbréfasjóða</t>
  </si>
  <si>
    <t>Gengisbundndar eignir 31.12.2003</t>
  </si>
  <si>
    <t>Almenni</t>
  </si>
  <si>
    <t>Trygginga-</t>
  </si>
  <si>
    <t>Innlán í bönkum og sparisjóðum</t>
  </si>
  <si>
    <t>Annað</t>
  </si>
  <si>
    <t>lok 2002</t>
  </si>
  <si>
    <t>*</t>
  </si>
  <si>
    <t>*Stofnuð í árs-</t>
  </si>
  <si>
    <t>Deild/leið I</t>
  </si>
  <si>
    <t>Deild/leið II</t>
  </si>
  <si>
    <t>Deild/leið III</t>
  </si>
  <si>
    <r>
      <t xml:space="preserve">Vörsluaðilar aðrir en lífeyrissjóðir </t>
    </r>
    <r>
      <rPr>
        <b/>
        <vertAlign val="superscript"/>
        <sz val="10"/>
        <rFont val="Times New Roman"/>
        <family val="1"/>
      </rPr>
      <t>(2)</t>
    </r>
  </si>
  <si>
    <t>31.12.2003</t>
  </si>
  <si>
    <r>
      <t>.</t>
    </r>
    <r>
      <rPr>
        <b/>
        <vertAlign val="superscript"/>
        <sz val="10"/>
        <rFont val="Times New Roman"/>
        <family val="1"/>
      </rPr>
      <t>(2)</t>
    </r>
  </si>
  <si>
    <t>Óskráð verðbréf 31.12.2002</t>
  </si>
  <si>
    <t xml:space="preserve">Reikna daglegt </t>
  </si>
  <si>
    <t>gengi</t>
  </si>
  <si>
    <t>Reikna daglegt</t>
  </si>
  <si>
    <t>*Stofnaðar 1/7/2002</t>
  </si>
  <si>
    <t>*Stofnuð í árslok 2002</t>
  </si>
  <si>
    <t>*4 ára ávöxtun</t>
  </si>
  <si>
    <t>*4ára ávöxt.</t>
  </si>
  <si>
    <t>*5,3%</t>
  </si>
  <si>
    <t>*2ára ávöxt.</t>
  </si>
  <si>
    <t>*5,7%</t>
  </si>
  <si>
    <t>Skuldabréf sveitafélaga</t>
  </si>
  <si>
    <t>Skuldabref og víxlar lánastofnanna</t>
  </si>
  <si>
    <t>Óskráð hlutabréf</t>
  </si>
  <si>
    <t>*3ára ávöxt.</t>
  </si>
  <si>
    <t>*6,6%</t>
  </si>
  <si>
    <t>*-3,27</t>
  </si>
  <si>
    <t xml:space="preserve">4) Ábyrgð á skuldbindingum deildar II </t>
  </si>
  <si>
    <t>5)</t>
  </si>
  <si>
    <t>5) Stjórnir sjóðanna ákvarða iðgjald launagreiðanda árlega þannig að það dugi til greiðslu á skuldbindingum A-deilda</t>
  </si>
  <si>
    <t>(16 deildir)</t>
  </si>
  <si>
    <t>(43 deildir)</t>
  </si>
  <si>
    <t>Allir sjóðir</t>
  </si>
  <si>
    <t>samtals</t>
  </si>
  <si>
    <t>Lífeyrissjóður starfsmanna Húsavíkurkaupstaðar</t>
  </si>
  <si>
    <t>*5,4%</t>
  </si>
  <si>
    <t>*4,1%</t>
  </si>
  <si>
    <t>*8,6%</t>
  </si>
  <si>
    <t>*6,9%</t>
  </si>
  <si>
    <t>*6,3%</t>
  </si>
  <si>
    <t>*9,4%</t>
  </si>
  <si>
    <t>*8,7%</t>
  </si>
  <si>
    <t>*7,1%</t>
  </si>
  <si>
    <t xml:space="preserve"> 1.  Hrein raunávöxtun miðað við vísitölu neysluverðs (2,7% hækkun </t>
  </si>
  <si>
    <t xml:space="preserve">      á árinu 2003) sjá skýringu í inngangi að kafla 4.</t>
  </si>
  <si>
    <t>.</t>
  </si>
  <si>
    <t>*0,2%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</si>
</sst>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  <numFmt numFmtId="181" formatCode="#,##0\ ;\(#,##0\)"/>
  </numFmts>
  <fonts count="7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Courier"/>
      <family val="0"/>
    </font>
    <font>
      <sz val="9"/>
      <name val="Courie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9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5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58" applyFont="1" applyAlignment="1" applyProtection="1">
      <alignment horizontal="right"/>
      <protection/>
    </xf>
    <xf numFmtId="0" fontId="2" fillId="0" borderId="0" xfId="58" applyFont="1" applyProtection="1">
      <alignment/>
      <protection/>
    </xf>
    <xf numFmtId="0" fontId="4" fillId="0" borderId="0" xfId="58" applyFont="1" applyAlignment="1" applyProtection="1">
      <alignment horizontal="center"/>
      <protection/>
    </xf>
    <xf numFmtId="0" fontId="2" fillId="0" borderId="0" xfId="58" applyFont="1">
      <alignment/>
      <protection/>
    </xf>
    <xf numFmtId="3" fontId="3" fillId="0" borderId="0" xfId="58" applyNumberFormat="1" applyFont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3" fillId="0" borderId="0" xfId="58" applyFont="1" applyAlignment="1" applyProtection="1">
      <alignment horizontal="center"/>
      <protection/>
    </xf>
    <xf numFmtId="0" fontId="5" fillId="0" borderId="0" xfId="58" applyFont="1" applyAlignment="1" applyProtection="1">
      <alignment horizontal="right"/>
      <protection/>
    </xf>
    <xf numFmtId="3" fontId="3" fillId="0" borderId="0" xfId="58" applyNumberFormat="1" applyFont="1" applyAlignment="1" applyProtection="1" quotePrefix="1">
      <alignment horizontal="right"/>
      <protection/>
    </xf>
    <xf numFmtId="0" fontId="3" fillId="0" borderId="0" xfId="58" applyNumberFormat="1" applyFont="1" applyAlignment="1" applyProtection="1">
      <alignment horizontal="center"/>
      <protection/>
    </xf>
    <xf numFmtId="3" fontId="2" fillId="0" borderId="0" xfId="58" applyNumberFormat="1" applyFont="1" applyAlignment="1" applyProtection="1">
      <alignment horizontal="right"/>
      <protection/>
    </xf>
    <xf numFmtId="0" fontId="2" fillId="0" borderId="0" xfId="58" applyFont="1" applyAlignment="1" applyProtection="1">
      <alignment horizontal="center"/>
      <protection/>
    </xf>
    <xf numFmtId="3" fontId="2" fillId="0" borderId="0" xfId="58" applyNumberFormat="1" applyFont="1">
      <alignment/>
      <protection/>
    </xf>
    <xf numFmtId="3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5" fontId="2" fillId="0" borderId="0" xfId="62" applyNumberFormat="1" applyFont="1" applyAlignment="1" applyProtection="1">
      <alignment/>
      <protection/>
    </xf>
    <xf numFmtId="0" fontId="5" fillId="0" borderId="0" xfId="58" applyFont="1" applyAlignment="1">
      <alignment horizontal="right"/>
      <protection/>
    </xf>
    <xf numFmtId="0" fontId="2" fillId="0" borderId="0" xfId="58" applyFont="1" applyAlignment="1">
      <alignment horizontal="right"/>
      <protection/>
    </xf>
    <xf numFmtId="3" fontId="2" fillId="0" borderId="10" xfId="58" applyNumberFormat="1" applyFont="1" applyBorder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0" fontId="3" fillId="0" borderId="0" xfId="58" applyFont="1" applyAlignment="1">
      <alignment horizontal="right"/>
      <protection/>
    </xf>
    <xf numFmtId="165" fontId="2" fillId="0" borderId="0" xfId="58" applyNumberFormat="1" applyFont="1">
      <alignment/>
      <protection/>
    </xf>
    <xf numFmtId="3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3" fontId="2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8" fillId="0" borderId="0" xfId="58" applyFont="1" applyFill="1" applyAlignment="1">
      <alignment horizontal="left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 horizontal="center"/>
      <protection/>
    </xf>
    <xf numFmtId="0" fontId="5" fillId="0" borderId="0" xfId="58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 locked="0"/>
    </xf>
    <xf numFmtId="165" fontId="2" fillId="0" borderId="0" xfId="62" applyNumberFormat="1" applyFont="1" applyAlignment="1" applyProtection="1">
      <alignment/>
      <protection locked="0"/>
    </xf>
    <xf numFmtId="165" fontId="2" fillId="0" borderId="0" xfId="62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 wrapText="1"/>
      <protection locked="0"/>
    </xf>
    <xf numFmtId="165" fontId="2" fillId="0" borderId="0" xfId="0" applyNumberFormat="1" applyFont="1" applyAlignment="1" applyProtection="1">
      <alignment wrapText="1"/>
      <protection locked="0"/>
    </xf>
    <xf numFmtId="168" fontId="2" fillId="0" borderId="0" xfId="0" applyNumberFormat="1" applyFont="1" applyFill="1" applyAlignment="1" applyProtection="1">
      <alignment horizontal="left"/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left"/>
      <protection/>
    </xf>
    <xf numFmtId="10" fontId="2" fillId="0" borderId="0" xfId="62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5" fontId="2" fillId="0" borderId="0" xfId="62" applyNumberFormat="1" applyFont="1" applyFill="1" applyAlignment="1" applyProtection="1">
      <alignment/>
      <protection/>
    </xf>
    <xf numFmtId="10" fontId="2" fillId="0" borderId="0" xfId="0" applyNumberFormat="1" applyFont="1" applyFill="1" applyAlignment="1" applyProtection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3" fontId="2" fillId="0" borderId="0" xfId="58" applyNumberFormat="1" applyFont="1" applyFill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3" fillId="0" borderId="0" xfId="58" applyNumberFormat="1" applyFont="1" applyAlignment="1" applyProtection="1" quotePrefix="1">
      <alignment horizontal="center"/>
      <protection/>
    </xf>
    <xf numFmtId="3" fontId="3" fillId="0" borderId="0" xfId="58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0" fontId="2" fillId="0" borderId="0" xfId="62" applyNumberFormat="1" applyFont="1" applyFill="1" applyAlignment="1" applyProtection="1">
      <alignment/>
      <protection/>
    </xf>
    <xf numFmtId="3" fontId="2" fillId="0" borderId="0" xfId="0" applyNumberFormat="1" applyFont="1" applyAlignment="1">
      <alignment/>
    </xf>
    <xf numFmtId="165" fontId="2" fillId="0" borderId="0" xfId="62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3" fontId="13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 locked="0"/>
    </xf>
    <xf numFmtId="165" fontId="2" fillId="0" borderId="0" xfId="62" applyNumberFormat="1" applyFont="1" applyAlignment="1">
      <alignment/>
    </xf>
    <xf numFmtId="165" fontId="14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 quotePrefix="1">
      <alignment horizontal="center"/>
      <protection/>
    </xf>
    <xf numFmtId="3" fontId="3" fillId="0" borderId="0" xfId="0" applyNumberFormat="1" applyFont="1" applyFill="1" applyAlignment="1">
      <alignment/>
    </xf>
    <xf numFmtId="3" fontId="2" fillId="0" borderId="0" xfId="62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" fontId="15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right"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33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5" fontId="2" fillId="0" borderId="0" xfId="62" applyNumberFormat="1" applyFont="1" applyFill="1" applyAlignment="1">
      <alignment/>
    </xf>
    <xf numFmtId="165" fontId="2" fillId="0" borderId="0" xfId="62" applyNumberFormat="1" applyFont="1" applyFill="1" applyAlignment="1" applyProtection="1">
      <alignment horizontal="left"/>
      <protection locked="0"/>
    </xf>
    <xf numFmtId="165" fontId="2" fillId="0" borderId="0" xfId="62" applyNumberFormat="1" applyFont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62" applyNumberFormat="1" applyFont="1" applyFill="1" applyAlignment="1" applyProtection="1">
      <alignment/>
      <protection/>
    </xf>
    <xf numFmtId="9" fontId="3" fillId="0" borderId="0" xfId="62" applyFont="1" applyFill="1" applyAlignment="1" applyProtection="1">
      <alignment/>
      <protection/>
    </xf>
    <xf numFmtId="1" fontId="3" fillId="0" borderId="0" xfId="62" applyNumberFormat="1" applyFont="1" applyFill="1" applyAlignment="1" applyProtection="1">
      <alignment/>
      <protection/>
    </xf>
    <xf numFmtId="1" fontId="3" fillId="0" borderId="0" xfId="62" applyNumberFormat="1" applyFont="1" applyAlignment="1" applyProtection="1">
      <alignment/>
      <protection locked="0"/>
    </xf>
    <xf numFmtId="1" fontId="3" fillId="0" borderId="0" xfId="62" applyNumberFormat="1" applyFont="1" applyAlignment="1">
      <alignment/>
    </xf>
    <xf numFmtId="1" fontId="3" fillId="0" borderId="0" xfId="62" applyNumberFormat="1" applyFont="1" applyAlignment="1" applyProtection="1">
      <alignment/>
      <protection/>
    </xf>
    <xf numFmtId="168" fontId="8" fillId="0" borderId="0" xfId="0" applyNumberFormat="1" applyFont="1" applyAlignment="1" applyProtection="1">
      <alignment horizontal="left"/>
      <protection locked="0"/>
    </xf>
    <xf numFmtId="168" fontId="8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 wrapText="1"/>
      <protection/>
    </xf>
    <xf numFmtId="168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 horizontal="left"/>
    </xf>
    <xf numFmtId="3" fontId="8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178" fontId="3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178" fontId="2" fillId="0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78" fontId="17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178" fontId="2" fillId="0" borderId="0" xfId="0" applyNumberFormat="1" applyFont="1" applyBorder="1" applyAlignment="1">
      <alignment wrapText="1"/>
    </xf>
    <xf numFmtId="178" fontId="19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178" fontId="8" fillId="0" borderId="0" xfId="0" applyNumberFormat="1" applyFont="1" applyAlignment="1">
      <alignment/>
    </xf>
    <xf numFmtId="178" fontId="3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/>
    </xf>
    <xf numFmtId="178" fontId="5" fillId="0" borderId="0" xfId="0" applyNumberFormat="1" applyFont="1" applyAlignment="1">
      <alignment/>
    </xf>
    <xf numFmtId="178" fontId="20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178" fontId="5" fillId="0" borderId="0" xfId="0" applyNumberFormat="1" applyFont="1" applyAlignment="1">
      <alignment horizontal="center"/>
    </xf>
    <xf numFmtId="178" fontId="20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/>
    </xf>
    <xf numFmtId="3" fontId="8" fillId="0" borderId="0" xfId="0" applyNumberFormat="1" applyFont="1" applyFill="1" applyAlignment="1" applyProtection="1">
      <alignment horizontal="right"/>
      <protection/>
    </xf>
    <xf numFmtId="1" fontId="8" fillId="33" borderId="0" xfId="0" applyNumberFormat="1" applyFont="1" applyFill="1" applyAlignment="1" applyProtection="1">
      <alignment horizontal="right"/>
      <protection/>
    </xf>
    <xf numFmtId="0" fontId="2" fillId="0" borderId="0" xfId="58" applyFont="1" applyFill="1" applyAlignment="1" applyProtection="1">
      <alignment horizontal="center"/>
      <protection/>
    </xf>
    <xf numFmtId="0" fontId="2" fillId="0" borderId="0" xfId="58" applyFont="1" applyFill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Alignment="1">
      <alignment/>
    </xf>
    <xf numFmtId="168" fontId="8" fillId="0" borderId="0" xfId="0" applyNumberFormat="1" applyFont="1" applyFill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65" fontId="10" fillId="0" borderId="0" xfId="62" applyNumberFormat="1" applyFont="1" applyFill="1" applyAlignment="1">
      <alignment/>
    </xf>
    <xf numFmtId="3" fontId="25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" fontId="13" fillId="0" borderId="0" xfId="58" applyNumberFormat="1" applyFont="1" applyFill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1" fontId="2" fillId="0" borderId="0" xfId="62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 wrapText="1"/>
      <protection locked="0"/>
    </xf>
    <xf numFmtId="9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Alignment="1">
      <alignment/>
    </xf>
    <xf numFmtId="3" fontId="2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 applyProtection="1" quotePrefix="1">
      <alignment horizontal="right"/>
      <protection locked="0"/>
    </xf>
    <xf numFmtId="165" fontId="8" fillId="0" borderId="0" xfId="0" applyNumberFormat="1" applyFont="1" applyFill="1" applyAlignment="1" applyProtection="1">
      <alignment wrapText="1"/>
      <protection locked="0"/>
    </xf>
    <xf numFmtId="165" fontId="26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Fill="1" applyAlignment="1" applyProtection="1">
      <alignment wrapText="1"/>
      <protection locked="0"/>
    </xf>
    <xf numFmtId="10" fontId="2" fillId="0" borderId="0" xfId="62" applyNumberFormat="1" applyFont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Alignment="1" applyProtection="1">
      <alignment horizontal="left"/>
      <protection/>
    </xf>
    <xf numFmtId="3" fontId="20" fillId="0" borderId="0" xfId="0" applyNumberFormat="1" applyFont="1" applyFill="1" applyAlignment="1" applyProtection="1">
      <alignment horizontal="center"/>
      <protection/>
    </xf>
    <xf numFmtId="3" fontId="20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left"/>
      <protection/>
    </xf>
    <xf numFmtId="3" fontId="20" fillId="0" borderId="0" xfId="0" applyNumberFormat="1" applyFont="1" applyFill="1" applyAlignment="1" applyProtection="1">
      <alignment/>
      <protection/>
    </xf>
    <xf numFmtId="3" fontId="20" fillId="0" borderId="0" xfId="0" applyNumberFormat="1" applyFont="1" applyFill="1" applyAlignment="1" applyProtection="1" quotePrefix="1">
      <alignment horizontal="center"/>
      <protection/>
    </xf>
    <xf numFmtId="3" fontId="20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 quotePrefix="1">
      <alignment horizontal="center"/>
      <protection/>
    </xf>
    <xf numFmtId="3" fontId="20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2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Alignment="1">
      <alignment/>
    </xf>
    <xf numFmtId="3" fontId="5" fillId="0" borderId="0" xfId="62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20" fillId="0" borderId="0" xfId="0" applyNumberFormat="1" applyFont="1" applyFill="1" applyAlignment="1" applyProtection="1">
      <alignment horizontal="left"/>
      <protection locked="0"/>
    </xf>
    <xf numFmtId="0" fontId="31" fillId="0" borderId="0" xfId="0" applyFont="1" applyAlignment="1">
      <alignment/>
    </xf>
    <xf numFmtId="0" fontId="5" fillId="0" borderId="0" xfId="0" applyFont="1" applyFill="1" applyAlignment="1">
      <alignment/>
    </xf>
    <xf numFmtId="3" fontId="20" fillId="0" borderId="0" xfId="0" applyNumberFormat="1" applyFont="1" applyFill="1" applyAlignment="1" applyProtection="1">
      <alignment horizontal="left"/>
      <protection/>
    </xf>
    <xf numFmtId="3" fontId="32" fillId="0" borderId="0" xfId="0" applyNumberFormat="1" applyFont="1" applyFill="1" applyAlignment="1" applyProtection="1">
      <alignment horizontal="left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>
      <alignment/>
      <protection/>
    </xf>
    <xf numFmtId="3" fontId="20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 horizontal="left"/>
      <protection/>
    </xf>
    <xf numFmtId="3" fontId="20" fillId="0" borderId="0" xfId="0" applyNumberFormat="1" applyFont="1" applyFill="1" applyAlignment="1" applyProtection="1">
      <alignment horizontal="right"/>
      <protection/>
    </xf>
    <xf numFmtId="165" fontId="5" fillId="0" borderId="0" xfId="62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168" fontId="8" fillId="0" borderId="0" xfId="0" applyNumberFormat="1" applyFont="1" applyAlignment="1" applyProtection="1">
      <alignment/>
      <protection locked="0"/>
    </xf>
    <xf numFmtId="168" fontId="8" fillId="0" borderId="0" xfId="0" applyNumberFormat="1" applyFont="1" applyFill="1" applyAlignment="1" applyProtection="1">
      <alignment/>
      <protection locked="0"/>
    </xf>
    <xf numFmtId="3" fontId="34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14" fillId="0" borderId="0" xfId="59" applyFont="1" applyFill="1" applyBorder="1" applyAlignment="1" applyProtection="1">
      <alignment horizontal="center" wrapText="1"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 quotePrefix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 quotePrefix="1">
      <alignment horizontal="center"/>
      <protection locked="0"/>
    </xf>
    <xf numFmtId="49" fontId="3" fillId="0" borderId="0" xfId="0" applyNumberFormat="1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33" fillId="0" borderId="0" xfId="59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14" fillId="0" borderId="0" xfId="59" applyFont="1" applyFill="1" applyBorder="1" applyAlignment="1" applyProtection="1">
      <alignment horizontal="left"/>
      <protection locked="0"/>
    </xf>
    <xf numFmtId="3" fontId="14" fillId="0" borderId="0" xfId="59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5" fillId="0" borderId="0" xfId="59" applyFont="1" applyFill="1" applyBorder="1" applyAlignment="1" applyProtection="1">
      <alignment horizontal="right"/>
      <protection locked="0"/>
    </xf>
    <xf numFmtId="3" fontId="33" fillId="0" borderId="0" xfId="59" applyNumberFormat="1" applyFont="1" applyFill="1" applyBorder="1" applyAlignment="1" applyProtection="1">
      <alignment horizontal="right" wrapText="1"/>
      <protection locked="0"/>
    </xf>
    <xf numFmtId="0" fontId="14" fillId="0" borderId="0" xfId="59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6" fillId="0" borderId="0" xfId="59" applyFont="1" applyFill="1" applyBorder="1" applyAlignment="1" applyProtection="1">
      <alignment horizontal="right"/>
      <protection locked="0"/>
    </xf>
    <xf numFmtId="4" fontId="14" fillId="0" borderId="0" xfId="59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14" fontId="37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Alignment="1" applyProtection="1">
      <alignment horizontal="right"/>
      <protection/>
    </xf>
    <xf numFmtId="3" fontId="30" fillId="0" borderId="0" xfId="0" applyNumberFormat="1" applyFont="1" applyFill="1" applyBorder="1" applyAlignment="1" applyProtection="1">
      <alignment horizontal="right"/>
      <protection/>
    </xf>
    <xf numFmtId="3" fontId="30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32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>
      <alignment/>
    </xf>
    <xf numFmtId="169" fontId="5" fillId="0" borderId="0" xfId="57" applyNumberFormat="1" applyFont="1" applyFill="1" applyBorder="1">
      <alignment/>
      <protection/>
    </xf>
    <xf numFmtId="181" fontId="5" fillId="0" borderId="0" xfId="57" applyNumberFormat="1" applyFont="1" applyFill="1" applyBorder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/>
      <protection locked="0"/>
    </xf>
    <xf numFmtId="3" fontId="5" fillId="34" borderId="0" xfId="0" applyNumberFormat="1" applyFont="1" applyFill="1" applyAlignment="1">
      <alignment/>
    </xf>
    <xf numFmtId="165" fontId="2" fillId="0" borderId="0" xfId="62" applyNumberFormat="1" applyFont="1" applyFill="1" applyAlignment="1" applyProtection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168" fontId="18" fillId="0" borderId="0" xfId="0" applyNumberFormat="1" applyFont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left"/>
      <protection/>
    </xf>
    <xf numFmtId="171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174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right" wrapText="1"/>
      <protection locked="0"/>
    </xf>
    <xf numFmtId="165" fontId="3" fillId="0" borderId="0" xfId="62" applyNumberFormat="1" applyFont="1" applyFill="1" applyAlignment="1">
      <alignment/>
    </xf>
    <xf numFmtId="0" fontId="0" fillId="0" borderId="0" xfId="0" applyFont="1" applyAlignment="1">
      <alignment/>
    </xf>
    <xf numFmtId="165" fontId="14" fillId="0" borderId="0" xfId="0" applyNumberFormat="1" applyFont="1" applyAlignment="1" applyProtection="1">
      <alignment horizontal="right"/>
      <protection locked="0"/>
    </xf>
    <xf numFmtId="10" fontId="2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 wrapText="1"/>
      <protection locked="0"/>
    </xf>
    <xf numFmtId="3" fontId="2" fillId="0" borderId="0" xfId="0" applyNumberFormat="1" applyFont="1" applyFill="1" applyAlignment="1" applyProtection="1">
      <alignment horizontal="right" wrapText="1"/>
      <protection/>
    </xf>
    <xf numFmtId="165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8" fillId="0" borderId="0" xfId="0" applyNumberFormat="1" applyFont="1" applyFill="1" applyAlignment="1" applyProtection="1">
      <alignment horizontal="center"/>
      <protection/>
    </xf>
    <xf numFmtId="3" fontId="38" fillId="0" borderId="0" xfId="0" applyNumberFormat="1" applyFont="1" applyFill="1" applyAlignment="1" applyProtection="1">
      <alignment horizontal="right"/>
      <protection/>
    </xf>
    <xf numFmtId="3" fontId="38" fillId="0" borderId="0" xfId="0" applyNumberFormat="1" applyFont="1" applyFill="1" applyAlignment="1" applyProtection="1">
      <alignment/>
      <protection/>
    </xf>
    <xf numFmtId="3" fontId="38" fillId="0" borderId="0" xfId="0" applyNumberFormat="1" applyFont="1" applyFill="1" applyAlignment="1">
      <alignment/>
    </xf>
    <xf numFmtId="3" fontId="39" fillId="0" borderId="0" xfId="0" applyNumberFormat="1" applyFont="1" applyFill="1" applyBorder="1" applyAlignment="1" applyProtection="1">
      <alignment horizontal="left"/>
      <protection/>
    </xf>
    <xf numFmtId="3" fontId="3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left"/>
    </xf>
    <xf numFmtId="179" fontId="2" fillId="0" borderId="0" xfId="62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0" fontId="2" fillId="0" borderId="0" xfId="62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" fontId="38" fillId="0" borderId="0" xfId="0" applyNumberFormat="1" applyFont="1" applyFill="1" applyAlignment="1" applyProtection="1" quotePrefix="1">
      <alignment horizontal="center"/>
      <protection/>
    </xf>
    <xf numFmtId="3" fontId="38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>
      <alignment/>
    </xf>
    <xf numFmtId="1" fontId="38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65" fontId="33" fillId="0" borderId="0" xfId="0" applyNumberFormat="1" applyFont="1" applyAlignment="1" applyProtection="1">
      <alignment/>
      <protection locked="0"/>
    </xf>
    <xf numFmtId="165" fontId="33" fillId="0" borderId="0" xfId="0" applyNumberFormat="1" applyFont="1" applyFill="1" applyAlignment="1" applyProtection="1">
      <alignment/>
      <protection locked="0"/>
    </xf>
    <xf numFmtId="1" fontId="2" fillId="33" borderId="0" xfId="62" applyNumberFormat="1" applyFont="1" applyFill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/>
    </xf>
    <xf numFmtId="1" fontId="2" fillId="0" borderId="0" xfId="62" applyNumberFormat="1" applyFont="1" applyFill="1" applyAlignment="1" applyProtection="1">
      <alignment horizontal="right"/>
      <protection/>
    </xf>
    <xf numFmtId="165" fontId="14" fillId="0" borderId="0" xfId="0" applyNumberFormat="1" applyFont="1" applyFill="1" applyAlignment="1" applyProtection="1">
      <alignment/>
      <protection locked="0"/>
    </xf>
    <xf numFmtId="1" fontId="18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33" borderId="0" xfId="0" applyNumberFormat="1" applyFont="1" applyFill="1" applyAlignment="1" applyProtection="1">
      <alignment horizontal="right" wrapText="1"/>
      <protection/>
    </xf>
    <xf numFmtId="1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Alignment="1" applyProtection="1">
      <alignment horizontal="left"/>
      <protection/>
    </xf>
    <xf numFmtId="168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Fill="1" applyAlignment="1">
      <alignment horizontal="right"/>
    </xf>
    <xf numFmtId="168" fontId="5" fillId="0" borderId="0" xfId="0" applyNumberFormat="1" applyFont="1" applyAlignment="1" applyProtection="1">
      <alignment/>
      <protection locked="0"/>
    </xf>
    <xf numFmtId="10" fontId="2" fillId="0" borderId="0" xfId="62" applyNumberFormat="1" applyFont="1" applyFill="1" applyAlignment="1">
      <alignment/>
    </xf>
    <xf numFmtId="0" fontId="20" fillId="0" borderId="0" xfId="58" applyFont="1">
      <alignment/>
      <protection/>
    </xf>
    <xf numFmtId="0" fontId="5" fillId="0" borderId="0" xfId="58" applyFont="1">
      <alignment/>
      <protection/>
    </xf>
    <xf numFmtId="3" fontId="2" fillId="0" borderId="0" xfId="0" applyNumberFormat="1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10" fontId="2" fillId="0" borderId="0" xfId="0" applyNumberFormat="1" applyFont="1" applyAlignment="1" applyProtection="1">
      <alignment horizontal="right"/>
      <protection locked="0"/>
    </xf>
    <xf numFmtId="10" fontId="2" fillId="0" borderId="0" xfId="62" applyNumberFormat="1" applyFont="1" applyAlignment="1" applyProtection="1">
      <alignment horizontal="right"/>
      <protection locked="0"/>
    </xf>
    <xf numFmtId="1" fontId="2" fillId="0" borderId="0" xfId="62" applyNumberFormat="1" applyFont="1" applyFill="1" applyAlignment="1" applyProtection="1">
      <alignment/>
      <protection locked="0"/>
    </xf>
    <xf numFmtId="3" fontId="3" fillId="0" borderId="10" xfId="58" applyNumberFormat="1" applyFont="1" applyBorder="1" applyAlignment="1" applyProtection="1" quotePrefix="1">
      <alignment horizontal="center"/>
      <protection/>
    </xf>
    <xf numFmtId="3" fontId="20" fillId="0" borderId="0" xfId="0" applyNumberFormat="1" applyFont="1" applyFill="1" applyAlignment="1" applyProtection="1">
      <alignment horizontal="center"/>
      <protection/>
    </xf>
    <xf numFmtId="3" fontId="20" fillId="0" borderId="0" xfId="0" applyNumberFormat="1" applyFont="1" applyFill="1" applyBorder="1" applyAlignment="1" applyProtection="1" quotePrefix="1">
      <alignment horizontal="center"/>
      <protection/>
    </xf>
    <xf numFmtId="3" fontId="20" fillId="0" borderId="0" xfId="0" applyNumberFormat="1" applyFont="1" applyFill="1" applyAlignment="1" applyProtection="1" quotePrefix="1">
      <alignment horizontal="center"/>
      <protection/>
    </xf>
    <xf numFmtId="49" fontId="20" fillId="0" borderId="0" xfId="0" applyNumberFormat="1" applyFont="1" applyFill="1" applyAlignment="1" applyProtection="1">
      <alignment horizontal="center"/>
      <protection/>
    </xf>
    <xf numFmtId="49" fontId="20" fillId="0" borderId="0" xfId="0" applyNumberFormat="1" applyFont="1" applyFill="1" applyAlignment="1" applyProtection="1" quotePrefix="1">
      <alignment horizont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Alignment="1" applyProtection="1" quotePrefix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Fill="1" applyAlignment="1" applyProtection="1" quotePrefix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 locked="0"/>
    </xf>
    <xf numFmtId="10" fontId="2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165" fontId="8" fillId="0" borderId="0" xfId="62" applyNumberFormat="1" applyFont="1" applyFill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 quotePrefix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 quotePrefix="1">
      <alignment horizontal="center"/>
      <protection locked="0"/>
    </xf>
    <xf numFmtId="178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-deild ársreikn 311200-3" xfId="57"/>
    <cellStyle name="Normal_BLS81.XL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28125" style="2" customWidth="1"/>
    <col min="2" max="2" width="48.00390625" style="2" customWidth="1"/>
    <col min="3" max="3" width="12.140625" style="2" customWidth="1"/>
    <col min="4" max="4" width="13.28125" style="2" customWidth="1"/>
    <col min="5" max="7" width="9.140625" style="2" customWidth="1"/>
    <col min="9" max="16384" width="9.140625" style="2" customWidth="1"/>
  </cols>
  <sheetData>
    <row r="1" ht="15">
      <c r="A1" s="1" t="s">
        <v>521</v>
      </c>
    </row>
    <row r="2" ht="12.75" customHeight="1"/>
    <row r="3" spans="3:4" ht="12.75" customHeight="1">
      <c r="C3" s="70" t="s">
        <v>394</v>
      </c>
      <c r="D3" s="70" t="s">
        <v>0</v>
      </c>
    </row>
    <row r="4" spans="2:4" ht="12.75" customHeight="1">
      <c r="B4" s="71" t="s">
        <v>392</v>
      </c>
      <c r="C4" s="70" t="s">
        <v>393</v>
      </c>
      <c r="D4" s="70" t="s">
        <v>1</v>
      </c>
    </row>
    <row r="5" spans="2:7" ht="15.75" customHeight="1">
      <c r="B5" s="4" t="s">
        <v>507</v>
      </c>
      <c r="C5" s="14">
        <v>5</v>
      </c>
      <c r="D5" s="14">
        <v>8</v>
      </c>
      <c r="G5" s="3"/>
    </row>
    <row r="6" spans="2:7" ht="11.25" customHeight="1">
      <c r="B6" s="4" t="s">
        <v>5</v>
      </c>
      <c r="C6" s="14">
        <v>1</v>
      </c>
      <c r="D6" s="14">
        <v>23</v>
      </c>
      <c r="G6" s="3"/>
    </row>
    <row r="7" spans="2:7" ht="11.25" customHeight="1">
      <c r="B7" s="6" t="s">
        <v>6</v>
      </c>
      <c r="C7" s="67">
        <v>1</v>
      </c>
      <c r="D7" s="67">
        <v>43</v>
      </c>
      <c r="G7" s="3"/>
    </row>
    <row r="8" spans="2:7" ht="11.25" customHeight="1">
      <c r="B8" s="6" t="s">
        <v>383</v>
      </c>
      <c r="C8" s="67">
        <v>1</v>
      </c>
      <c r="D8" s="67">
        <v>42</v>
      </c>
      <c r="G8" s="3"/>
    </row>
    <row r="9" spans="2:7" ht="11.25" customHeight="1">
      <c r="B9" s="4" t="s">
        <v>380</v>
      </c>
      <c r="C9" s="14">
        <v>1</v>
      </c>
      <c r="D9" s="14">
        <v>37</v>
      </c>
      <c r="G9" s="3"/>
    </row>
    <row r="10" spans="2:7" ht="11.25" customHeight="1">
      <c r="B10" s="6" t="s">
        <v>381</v>
      </c>
      <c r="C10" s="67">
        <v>1</v>
      </c>
      <c r="D10" s="14">
        <v>36</v>
      </c>
      <c r="G10" s="3"/>
    </row>
    <row r="11" spans="2:7" ht="11.25" customHeight="1">
      <c r="B11" s="4" t="s">
        <v>382</v>
      </c>
      <c r="C11" s="14">
        <v>1</v>
      </c>
      <c r="D11" s="14">
        <v>29</v>
      </c>
      <c r="G11" s="3"/>
    </row>
    <row r="12" spans="2:7" ht="11.25" customHeight="1">
      <c r="B12" s="6" t="s">
        <v>385</v>
      </c>
      <c r="C12" s="67">
        <v>1</v>
      </c>
      <c r="D12" s="14">
        <v>41</v>
      </c>
      <c r="G12" s="3"/>
    </row>
    <row r="13" spans="2:7" ht="11.25" customHeight="1">
      <c r="B13" s="6" t="s">
        <v>384</v>
      </c>
      <c r="C13" s="67">
        <v>1</v>
      </c>
      <c r="D13" s="14">
        <v>48</v>
      </c>
      <c r="G13" s="3"/>
    </row>
    <row r="14" spans="2:7" ht="11.25" customHeight="1">
      <c r="B14" s="4" t="s">
        <v>10</v>
      </c>
      <c r="C14" s="14">
        <v>4</v>
      </c>
      <c r="D14" s="14">
        <v>9</v>
      </c>
      <c r="G14" s="3"/>
    </row>
    <row r="15" spans="2:7" ht="11.25" customHeight="1">
      <c r="B15" s="4" t="s">
        <v>11</v>
      </c>
      <c r="C15" s="14">
        <v>4</v>
      </c>
      <c r="D15" s="14">
        <v>24</v>
      </c>
      <c r="G15" s="3"/>
    </row>
    <row r="16" spans="2:7" ht="11.25" customHeight="1">
      <c r="B16" s="6" t="s">
        <v>13</v>
      </c>
      <c r="C16" s="67">
        <v>1</v>
      </c>
      <c r="D16" s="14">
        <v>40</v>
      </c>
      <c r="G16" s="3"/>
    </row>
    <row r="17" spans="2:7" ht="11.25" customHeight="1">
      <c r="B17" s="4" t="s">
        <v>14</v>
      </c>
      <c r="C17" s="14">
        <v>2</v>
      </c>
      <c r="D17" s="14">
        <v>13</v>
      </c>
      <c r="G17" s="3"/>
    </row>
    <row r="18" spans="2:7" ht="11.25" customHeight="1">
      <c r="B18" s="4" t="s">
        <v>15</v>
      </c>
      <c r="C18" s="14">
        <v>2</v>
      </c>
      <c r="D18" s="14">
        <v>11</v>
      </c>
      <c r="G18" s="3"/>
    </row>
    <row r="19" spans="2:7" ht="11.25" customHeight="1">
      <c r="B19" s="4" t="s">
        <v>16</v>
      </c>
      <c r="C19" s="14">
        <v>1</v>
      </c>
      <c r="D19" s="14">
        <v>32</v>
      </c>
      <c r="G19" s="3"/>
    </row>
    <row r="20" spans="2:7" ht="11.25" customHeight="1">
      <c r="B20" s="4" t="s">
        <v>17</v>
      </c>
      <c r="C20" s="14">
        <v>1</v>
      </c>
      <c r="D20" s="14">
        <v>20</v>
      </c>
      <c r="G20" s="3"/>
    </row>
    <row r="21" spans="2:7" ht="11.25" customHeight="1">
      <c r="B21" s="4" t="s">
        <v>18</v>
      </c>
      <c r="C21" s="14">
        <v>2</v>
      </c>
      <c r="D21" s="14">
        <v>30</v>
      </c>
      <c r="G21" s="3"/>
    </row>
    <row r="22" spans="2:7" ht="11.25" customHeight="1">
      <c r="B22" s="4" t="s">
        <v>19</v>
      </c>
      <c r="C22" s="14">
        <v>1</v>
      </c>
      <c r="D22" s="14">
        <v>33</v>
      </c>
      <c r="G22" s="3"/>
    </row>
    <row r="23" spans="2:7" ht="11.25" customHeight="1">
      <c r="B23" s="4" t="s">
        <v>20</v>
      </c>
      <c r="C23" s="14">
        <v>1</v>
      </c>
      <c r="D23" s="14">
        <v>18</v>
      </c>
      <c r="G23" s="3"/>
    </row>
    <row r="24" spans="2:7" ht="11.25" customHeight="1">
      <c r="B24" s="4" t="s">
        <v>21</v>
      </c>
      <c r="C24" s="14">
        <v>1</v>
      </c>
      <c r="D24" s="14">
        <v>14</v>
      </c>
      <c r="G24" s="3"/>
    </row>
    <row r="25" spans="2:7" ht="11.25" customHeight="1">
      <c r="B25" s="6" t="s">
        <v>22</v>
      </c>
      <c r="C25" s="67">
        <v>1</v>
      </c>
      <c r="D25" s="67">
        <v>38</v>
      </c>
      <c r="G25" s="3"/>
    </row>
    <row r="26" spans="2:7" ht="11.25" customHeight="1">
      <c r="B26" s="6" t="s">
        <v>23</v>
      </c>
      <c r="C26" s="67">
        <v>1</v>
      </c>
      <c r="D26" s="67">
        <v>47</v>
      </c>
      <c r="G26" s="3"/>
    </row>
    <row r="27" spans="2:7" ht="11.25" customHeight="1">
      <c r="B27" s="4" t="s">
        <v>24</v>
      </c>
      <c r="C27" s="14">
        <v>3</v>
      </c>
      <c r="D27" s="14">
        <v>6</v>
      </c>
      <c r="G27" s="3"/>
    </row>
    <row r="28" spans="2:7" ht="11.25" customHeight="1">
      <c r="B28" s="4" t="s">
        <v>25</v>
      </c>
      <c r="C28" s="14">
        <v>2</v>
      </c>
      <c r="D28" s="14">
        <v>31</v>
      </c>
      <c r="G28" s="3"/>
    </row>
    <row r="29" spans="2:7" ht="11.25" customHeight="1">
      <c r="B29" s="4" t="s">
        <v>26</v>
      </c>
      <c r="C29" s="14">
        <v>4</v>
      </c>
      <c r="D29" s="14">
        <v>4</v>
      </c>
      <c r="G29" s="3"/>
    </row>
    <row r="30" spans="2:7" ht="11.25" customHeight="1">
      <c r="B30" s="6" t="s">
        <v>386</v>
      </c>
      <c r="C30" s="68">
        <v>1</v>
      </c>
      <c r="D30" s="67">
        <v>39</v>
      </c>
      <c r="G30" s="3"/>
    </row>
    <row r="31" spans="2:7" ht="11.25" customHeight="1">
      <c r="B31" s="4" t="s">
        <v>387</v>
      </c>
      <c r="C31" s="14">
        <v>1</v>
      </c>
      <c r="D31" s="14">
        <v>26</v>
      </c>
      <c r="G31" s="3"/>
    </row>
    <row r="32" spans="2:7" ht="11.25" customHeight="1">
      <c r="B32" s="6" t="s">
        <v>562</v>
      </c>
      <c r="C32" s="67">
        <v>1</v>
      </c>
      <c r="D32" s="14">
        <v>46</v>
      </c>
      <c r="G32" s="3"/>
    </row>
    <row r="33" spans="2:7" ht="11.25" customHeight="1">
      <c r="B33" s="4" t="s">
        <v>397</v>
      </c>
      <c r="C33" s="14">
        <v>1</v>
      </c>
      <c r="D33" s="67">
        <v>34</v>
      </c>
      <c r="G33" s="3"/>
    </row>
    <row r="34" spans="2:7" ht="11.25" customHeight="1">
      <c r="B34" s="6" t="s">
        <v>388</v>
      </c>
      <c r="C34" s="67">
        <v>1</v>
      </c>
      <c r="D34" s="67">
        <v>50</v>
      </c>
      <c r="G34" s="3"/>
    </row>
    <row r="35" spans="2:7" ht="11.25" customHeight="1">
      <c r="B35" s="4" t="s">
        <v>31</v>
      </c>
      <c r="C35" s="14">
        <v>1</v>
      </c>
      <c r="D35" s="14">
        <v>21</v>
      </c>
      <c r="G35" s="3"/>
    </row>
    <row r="36" spans="2:7" ht="11.25" customHeight="1">
      <c r="B36" s="4" t="s">
        <v>32</v>
      </c>
      <c r="C36" s="14">
        <v>7</v>
      </c>
      <c r="D36" s="14">
        <v>1</v>
      </c>
      <c r="G36" s="3"/>
    </row>
    <row r="37" spans="2:7" ht="11.25" customHeight="1">
      <c r="B37" s="6" t="s">
        <v>33</v>
      </c>
      <c r="C37" s="67">
        <v>5</v>
      </c>
      <c r="D37" s="14">
        <v>25</v>
      </c>
      <c r="G37" s="3"/>
    </row>
    <row r="38" spans="2:7" ht="11.25" customHeight="1">
      <c r="B38" s="6" t="s">
        <v>389</v>
      </c>
      <c r="C38" s="67">
        <v>1</v>
      </c>
      <c r="D38" s="14">
        <v>49</v>
      </c>
      <c r="G38" s="3"/>
    </row>
    <row r="39" spans="2:7" ht="11.25" customHeight="1">
      <c r="B39" s="6" t="s">
        <v>398</v>
      </c>
      <c r="C39" s="67">
        <v>1</v>
      </c>
      <c r="D39" s="14">
        <v>44</v>
      </c>
      <c r="G39" s="3"/>
    </row>
    <row r="40" spans="2:7" ht="11.25" customHeight="1">
      <c r="B40" s="4" t="s">
        <v>34</v>
      </c>
      <c r="C40" s="14">
        <v>1</v>
      </c>
      <c r="D40" s="14">
        <v>27</v>
      </c>
      <c r="G40" s="3"/>
    </row>
    <row r="41" spans="2:7" ht="11.25" customHeight="1">
      <c r="B41" s="4" t="s">
        <v>35</v>
      </c>
      <c r="C41" s="14">
        <v>1</v>
      </c>
      <c r="D41" s="14">
        <v>17</v>
      </c>
      <c r="G41" s="3"/>
    </row>
    <row r="42" spans="2:7" ht="11.25" customHeight="1">
      <c r="B42" s="6" t="s">
        <v>36</v>
      </c>
      <c r="C42" s="67">
        <v>2</v>
      </c>
      <c r="D42" s="14">
        <v>35</v>
      </c>
      <c r="G42" s="3"/>
    </row>
    <row r="43" spans="2:7" ht="11.25" customHeight="1">
      <c r="B43" s="4" t="s">
        <v>37</v>
      </c>
      <c r="C43" s="14">
        <v>2</v>
      </c>
      <c r="D43" s="14">
        <v>16</v>
      </c>
      <c r="G43" s="3"/>
    </row>
    <row r="44" spans="2:7" ht="11.25" customHeight="1">
      <c r="B44" s="4" t="s">
        <v>38</v>
      </c>
      <c r="C44" s="14">
        <v>2</v>
      </c>
      <c r="D44" s="14">
        <v>2</v>
      </c>
      <c r="G44" s="3"/>
    </row>
    <row r="45" spans="2:7" ht="11.25" customHeight="1">
      <c r="B45" s="4" t="s">
        <v>39</v>
      </c>
      <c r="C45" s="14">
        <v>3</v>
      </c>
      <c r="D45" s="14">
        <v>15</v>
      </c>
      <c r="G45" s="3"/>
    </row>
    <row r="46" spans="2:7" ht="11.25" customHeight="1">
      <c r="B46" s="4" t="s">
        <v>40</v>
      </c>
      <c r="C46" s="14">
        <v>3</v>
      </c>
      <c r="D46" s="14">
        <v>19</v>
      </c>
      <c r="G46" s="3"/>
    </row>
    <row r="47" spans="2:7" ht="11.25" customHeight="1">
      <c r="B47" s="4" t="s">
        <v>41</v>
      </c>
      <c r="C47" s="14">
        <v>2</v>
      </c>
      <c r="D47" s="14">
        <v>22</v>
      </c>
      <c r="G47" s="3"/>
    </row>
    <row r="48" spans="2:7" ht="11.25" customHeight="1">
      <c r="B48" s="4" t="s">
        <v>42</v>
      </c>
      <c r="C48" s="14">
        <v>3</v>
      </c>
      <c r="D48" s="14">
        <v>3</v>
      </c>
      <c r="G48" s="3"/>
    </row>
    <row r="49" spans="2:7" ht="11.25" customHeight="1">
      <c r="B49" s="4" t="s">
        <v>43</v>
      </c>
      <c r="C49" s="163">
        <v>3</v>
      </c>
      <c r="D49" s="14">
        <v>10</v>
      </c>
      <c r="G49" s="3"/>
    </row>
    <row r="50" spans="2:7" ht="11.25" customHeight="1">
      <c r="B50" s="6" t="s">
        <v>44</v>
      </c>
      <c r="C50" s="67">
        <v>1</v>
      </c>
      <c r="D50" s="67">
        <v>45</v>
      </c>
      <c r="G50" s="3"/>
    </row>
    <row r="51" spans="2:7" ht="11.25" customHeight="1">
      <c r="B51" s="4" t="s">
        <v>45</v>
      </c>
      <c r="C51" s="14">
        <v>4</v>
      </c>
      <c r="D51" s="14">
        <v>5</v>
      </c>
      <c r="G51" s="3"/>
    </row>
    <row r="52" spans="2:7" ht="11.25" customHeight="1">
      <c r="B52" s="4" t="s">
        <v>46</v>
      </c>
      <c r="C52" s="14">
        <v>3</v>
      </c>
      <c r="D52" s="14">
        <v>12</v>
      </c>
      <c r="G52" s="3"/>
    </row>
    <row r="53" spans="2:7" ht="11.25" customHeight="1">
      <c r="B53" s="6" t="s">
        <v>47</v>
      </c>
      <c r="C53" s="67">
        <v>5</v>
      </c>
      <c r="D53" s="67">
        <v>28</v>
      </c>
      <c r="G53" s="3"/>
    </row>
    <row r="54" spans="2:7" ht="11.25" customHeight="1">
      <c r="B54" s="4" t="s">
        <v>48</v>
      </c>
      <c r="C54" s="14">
        <v>2</v>
      </c>
      <c r="D54" s="14">
        <v>7</v>
      </c>
      <c r="G54" s="3"/>
    </row>
  </sheetData>
  <sheetProtection/>
  <printOptions/>
  <pageMargins left="0.7480314960629921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Roman,Bold"&amp;14 2.1. YFIRLIT YFIR LÍFEYRISSJÓÐI Í STAFRÓFSRÖÐ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M101"/>
  <sheetViews>
    <sheetView zoomScalePageLayoutView="0" workbookViewId="0" topLeftCell="A1">
      <pane xSplit="1" ySplit="7" topLeftCell="J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0" sqref="P30"/>
    </sheetView>
  </sheetViews>
  <sheetFormatPr defaultColWidth="9.140625" defaultRowHeight="12.75"/>
  <cols>
    <col min="1" max="1" width="29.57421875" style="79" customWidth="1"/>
    <col min="2" max="2" width="2.140625" style="341" customWidth="1"/>
    <col min="3" max="3" width="11.00390625" style="2" customWidth="1"/>
    <col min="4" max="5" width="9.140625" style="2" customWidth="1"/>
    <col min="6" max="6" width="8.7109375" style="2" customWidth="1"/>
    <col min="7" max="7" width="9.8515625" style="2" customWidth="1"/>
    <col min="8" max="8" width="9.8515625" style="79" customWidth="1"/>
    <col min="9" max="15" width="9.00390625" style="2" customWidth="1"/>
    <col min="16" max="16" width="11.140625" style="2" customWidth="1"/>
    <col min="17" max="17" width="10.28125" style="2" customWidth="1"/>
    <col min="18" max="18" width="11.140625" style="2" customWidth="1"/>
    <col min="19" max="19" width="9.8515625" style="2" customWidth="1"/>
    <col min="20" max="20" width="10.00390625" style="2" customWidth="1"/>
    <col min="21" max="21" width="9.8515625" style="2" customWidth="1"/>
    <col min="22" max="22" width="10.421875" style="2" customWidth="1"/>
    <col min="23" max="23" width="10.140625" style="2" customWidth="1"/>
    <col min="24" max="24" width="9.00390625" style="2" customWidth="1"/>
    <col min="25" max="25" width="9.8515625" style="2" customWidth="1"/>
    <col min="26" max="26" width="11.140625" style="2" customWidth="1"/>
    <col min="27" max="27" width="10.8515625" style="2" customWidth="1"/>
    <col min="28" max="28" width="10.7109375" style="2" customWidth="1"/>
    <col min="29" max="29" width="10.421875" style="2" customWidth="1"/>
    <col min="30" max="30" width="8.57421875" style="2" customWidth="1"/>
    <col min="31" max="31" width="7.7109375" style="2" customWidth="1"/>
    <col min="32" max="32" width="10.421875" style="2" customWidth="1"/>
    <col min="33" max="35" width="9.7109375" style="2" customWidth="1"/>
    <col min="36" max="38" width="9.7109375" style="79" customWidth="1"/>
    <col min="39" max="42" width="12.421875" style="2" customWidth="1"/>
    <col min="43" max="43" width="11.140625" style="2" customWidth="1"/>
    <col min="44" max="44" width="11.57421875" style="2" customWidth="1"/>
    <col min="45" max="45" width="18.57421875" style="2" customWidth="1"/>
    <col min="46" max="46" width="12.57421875" style="2" customWidth="1"/>
    <col min="47" max="47" width="6.28125" style="2" customWidth="1"/>
    <col min="48" max="48" width="11.00390625" style="2" customWidth="1"/>
    <col min="49" max="50" width="11.421875" style="2" customWidth="1"/>
    <col min="51" max="16384" width="9.140625" style="2" customWidth="1"/>
  </cols>
  <sheetData>
    <row r="1" spans="1:51" s="41" customFormat="1" ht="12.75">
      <c r="A1" s="30"/>
      <c r="B1" s="338"/>
      <c r="C1" s="374" t="s">
        <v>71</v>
      </c>
      <c r="D1" s="374"/>
      <c r="E1" s="374"/>
      <c r="F1" s="84" t="s">
        <v>71</v>
      </c>
      <c r="G1" s="374" t="s">
        <v>71</v>
      </c>
      <c r="H1" s="374"/>
      <c r="I1" s="374" t="s">
        <v>71</v>
      </c>
      <c r="J1" s="374" t="s">
        <v>71</v>
      </c>
      <c r="K1" s="374" t="s">
        <v>71</v>
      </c>
      <c r="L1" s="374" t="s">
        <v>72</v>
      </c>
      <c r="M1" s="374"/>
      <c r="N1" s="374" t="s">
        <v>71</v>
      </c>
      <c r="O1" s="374" t="s">
        <v>71</v>
      </c>
      <c r="P1" s="84" t="s">
        <v>73</v>
      </c>
      <c r="Q1" s="374" t="s">
        <v>525</v>
      </c>
      <c r="R1" s="374"/>
      <c r="S1" s="374"/>
      <c r="T1" s="374"/>
      <c r="U1" s="374" t="s">
        <v>75</v>
      </c>
      <c r="V1" s="374"/>
      <c r="W1" s="374"/>
      <c r="X1" s="374" t="s">
        <v>71</v>
      </c>
      <c r="Y1" s="374"/>
      <c r="Z1" s="84" t="s">
        <v>74</v>
      </c>
      <c r="AA1" s="84" t="s">
        <v>71</v>
      </c>
      <c r="AB1" s="84" t="s">
        <v>71</v>
      </c>
      <c r="AC1" s="84" t="s">
        <v>71</v>
      </c>
      <c r="AD1" s="374" t="s">
        <v>71</v>
      </c>
      <c r="AE1" s="374"/>
      <c r="AF1" s="84" t="s">
        <v>71</v>
      </c>
      <c r="AG1" s="374" t="s">
        <v>78</v>
      </c>
      <c r="AH1" s="374"/>
      <c r="AI1" s="374"/>
      <c r="AJ1" s="374" t="s">
        <v>71</v>
      </c>
      <c r="AK1" s="374"/>
      <c r="AL1" s="374"/>
      <c r="AM1" s="374" t="s">
        <v>80</v>
      </c>
      <c r="AN1" s="374"/>
      <c r="AO1" s="374"/>
      <c r="AP1" s="374"/>
      <c r="AQ1" s="84" t="s">
        <v>71</v>
      </c>
      <c r="AR1" s="84" t="s">
        <v>71</v>
      </c>
      <c r="AS1" s="84"/>
      <c r="AT1" s="111" t="s">
        <v>449</v>
      </c>
      <c r="AU1" s="84"/>
      <c r="AV1" s="92"/>
      <c r="AW1" s="92"/>
      <c r="AX1" s="92"/>
      <c r="AY1" s="92"/>
    </row>
    <row r="2" spans="1:51" s="41" customFormat="1" ht="12.75">
      <c r="A2" s="33" t="s">
        <v>64</v>
      </c>
      <c r="B2" s="338"/>
      <c r="C2" s="374" t="s">
        <v>83</v>
      </c>
      <c r="D2" s="374"/>
      <c r="E2" s="374"/>
      <c r="F2" s="84" t="s">
        <v>82</v>
      </c>
      <c r="G2" s="374" t="s">
        <v>84</v>
      </c>
      <c r="H2" s="374"/>
      <c r="I2" s="374" t="s">
        <v>86</v>
      </c>
      <c r="J2" s="374" t="s">
        <v>86</v>
      </c>
      <c r="K2" s="374" t="s">
        <v>86</v>
      </c>
      <c r="L2" s="374" t="s">
        <v>446</v>
      </c>
      <c r="M2" s="374" t="s">
        <v>85</v>
      </c>
      <c r="N2" s="374" t="s">
        <v>447</v>
      </c>
      <c r="O2" s="374" t="s">
        <v>87</v>
      </c>
      <c r="P2" s="84" t="s">
        <v>85</v>
      </c>
      <c r="Q2" s="374" t="s">
        <v>97</v>
      </c>
      <c r="R2" s="374" t="s">
        <v>97</v>
      </c>
      <c r="S2" s="374" t="s">
        <v>97</v>
      </c>
      <c r="T2" s="374" t="s">
        <v>97</v>
      </c>
      <c r="U2" s="374" t="s">
        <v>85</v>
      </c>
      <c r="V2" s="374" t="s">
        <v>85</v>
      </c>
      <c r="W2" s="374" t="s">
        <v>85</v>
      </c>
      <c r="X2" s="374" t="s">
        <v>89</v>
      </c>
      <c r="Y2" s="374"/>
      <c r="Z2" s="84" t="s">
        <v>85</v>
      </c>
      <c r="AA2" s="84" t="s">
        <v>90</v>
      </c>
      <c r="AB2" s="84" t="s">
        <v>91</v>
      </c>
      <c r="AC2" s="84" t="s">
        <v>95</v>
      </c>
      <c r="AD2" s="374" t="s">
        <v>96</v>
      </c>
      <c r="AE2" s="374" t="s">
        <v>96</v>
      </c>
      <c r="AF2" s="84" t="s">
        <v>99</v>
      </c>
      <c r="AG2" s="374" t="s">
        <v>85</v>
      </c>
      <c r="AH2" s="374" t="s">
        <v>85</v>
      </c>
      <c r="AI2" s="374" t="s">
        <v>85</v>
      </c>
      <c r="AJ2" s="374" t="s">
        <v>102</v>
      </c>
      <c r="AK2" s="374" t="s">
        <v>102</v>
      </c>
      <c r="AL2" s="374" t="s">
        <v>102</v>
      </c>
      <c r="AM2" s="374" t="s">
        <v>85</v>
      </c>
      <c r="AN2" s="374" t="s">
        <v>85</v>
      </c>
      <c r="AO2" s="374" t="s">
        <v>85</v>
      </c>
      <c r="AP2" s="374" t="s">
        <v>85</v>
      </c>
      <c r="AQ2" s="84" t="s">
        <v>107</v>
      </c>
      <c r="AR2" s="84" t="s">
        <v>112</v>
      </c>
      <c r="AS2" s="84"/>
      <c r="AT2" s="111" t="s">
        <v>434</v>
      </c>
      <c r="AU2" s="84"/>
      <c r="AV2" s="92"/>
      <c r="AW2" s="92"/>
      <c r="AX2" s="92"/>
      <c r="AY2" s="92"/>
    </row>
    <row r="3" spans="1:51" s="41" customFormat="1" ht="12.75">
      <c r="A3" s="30"/>
      <c r="B3" s="338"/>
      <c r="F3" s="84" t="s">
        <v>130</v>
      </c>
      <c r="L3" s="84"/>
      <c r="M3" s="84"/>
      <c r="N3" s="84"/>
      <c r="O3" s="84"/>
      <c r="P3" s="84" t="s">
        <v>129</v>
      </c>
      <c r="Q3" s="374"/>
      <c r="R3" s="374"/>
      <c r="S3" s="374"/>
      <c r="T3" s="374"/>
      <c r="U3" s="374" t="s">
        <v>101</v>
      </c>
      <c r="V3" s="374" t="s">
        <v>101</v>
      </c>
      <c r="W3" s="374" t="s">
        <v>101</v>
      </c>
      <c r="X3" s="374"/>
      <c r="Y3" s="374"/>
      <c r="Z3" s="84" t="s">
        <v>101</v>
      </c>
      <c r="AA3" s="84" t="s">
        <v>128</v>
      </c>
      <c r="AB3" s="84" t="s">
        <v>131</v>
      </c>
      <c r="AC3" s="84" t="s">
        <v>133</v>
      </c>
      <c r="AD3" s="374" t="s">
        <v>403</v>
      </c>
      <c r="AE3" s="374" t="s">
        <v>403</v>
      </c>
      <c r="AF3" s="84" t="s">
        <v>402</v>
      </c>
      <c r="AG3" s="374" t="s">
        <v>101</v>
      </c>
      <c r="AH3" s="374" t="s">
        <v>101</v>
      </c>
      <c r="AI3" s="374" t="s">
        <v>101</v>
      </c>
      <c r="AJ3" s="374" t="s">
        <v>144</v>
      </c>
      <c r="AK3" s="374" t="s">
        <v>144</v>
      </c>
      <c r="AL3" s="374" t="s">
        <v>144</v>
      </c>
      <c r="AM3" s="374" t="s">
        <v>101</v>
      </c>
      <c r="AN3" s="374" t="s">
        <v>101</v>
      </c>
      <c r="AO3" s="374" t="s">
        <v>101</v>
      </c>
      <c r="AP3" s="374" t="s">
        <v>101</v>
      </c>
      <c r="AQ3" s="84"/>
      <c r="AR3" s="84" t="s">
        <v>148</v>
      </c>
      <c r="AS3" s="84"/>
      <c r="AU3" s="84"/>
      <c r="AV3" s="92"/>
      <c r="AW3" s="92"/>
      <c r="AX3" s="92"/>
      <c r="AY3" s="92"/>
    </row>
    <row r="4" spans="1:51" s="88" customFormat="1" ht="12.75">
      <c r="A4" s="37"/>
      <c r="B4" s="338"/>
      <c r="C4" s="377" t="s">
        <v>375</v>
      </c>
      <c r="D4" s="377"/>
      <c r="E4" s="377"/>
      <c r="F4" s="87" t="s">
        <v>161</v>
      </c>
      <c r="G4" s="377" t="s">
        <v>166</v>
      </c>
      <c r="H4" s="377"/>
      <c r="I4" s="377" t="s">
        <v>167</v>
      </c>
      <c r="J4" s="377" t="s">
        <v>167</v>
      </c>
      <c r="K4" s="377" t="s">
        <v>167</v>
      </c>
      <c r="L4" s="377" t="s">
        <v>170</v>
      </c>
      <c r="M4" s="377"/>
      <c r="N4" s="377" t="s">
        <v>171</v>
      </c>
      <c r="O4" s="377" t="s">
        <v>171</v>
      </c>
      <c r="P4" s="87" t="s">
        <v>172</v>
      </c>
      <c r="Q4" s="377" t="s">
        <v>173</v>
      </c>
      <c r="R4" s="374"/>
      <c r="S4" s="374"/>
      <c r="T4" s="374" t="s">
        <v>180</v>
      </c>
      <c r="U4" s="374" t="s">
        <v>174</v>
      </c>
      <c r="V4" s="374" t="s">
        <v>174</v>
      </c>
      <c r="W4" s="374" t="s">
        <v>174</v>
      </c>
      <c r="X4" s="374" t="s">
        <v>175</v>
      </c>
      <c r="Y4" s="374" t="s">
        <v>175</v>
      </c>
      <c r="Z4" s="87" t="s">
        <v>177</v>
      </c>
      <c r="AA4" s="87" t="s">
        <v>178</v>
      </c>
      <c r="AB4" s="87" t="s">
        <v>180</v>
      </c>
      <c r="AC4" s="87" t="s">
        <v>181</v>
      </c>
      <c r="AD4" s="374" t="s">
        <v>184</v>
      </c>
      <c r="AE4" s="374" t="s">
        <v>184</v>
      </c>
      <c r="AF4" s="87" t="s">
        <v>187</v>
      </c>
      <c r="AG4" s="377" t="s">
        <v>188</v>
      </c>
      <c r="AH4" s="374" t="s">
        <v>189</v>
      </c>
      <c r="AI4" s="374" t="s">
        <v>189</v>
      </c>
      <c r="AJ4" s="377" t="s">
        <v>189</v>
      </c>
      <c r="AK4" s="374" t="s">
        <v>191</v>
      </c>
      <c r="AL4" s="374" t="s">
        <v>191</v>
      </c>
      <c r="AM4" s="374" t="s">
        <v>192</v>
      </c>
      <c r="AN4" s="374" t="s">
        <v>192</v>
      </c>
      <c r="AO4" s="374" t="s">
        <v>192</v>
      </c>
      <c r="AP4" s="374" t="s">
        <v>192</v>
      </c>
      <c r="AQ4" s="87" t="s">
        <v>195</v>
      </c>
      <c r="AR4" s="87" t="s">
        <v>201</v>
      </c>
      <c r="AS4" s="84"/>
      <c r="AU4" s="84"/>
      <c r="AV4" s="84"/>
      <c r="AW4" s="84"/>
      <c r="AX4" s="84"/>
      <c r="AY4" s="84"/>
    </row>
    <row r="5" spans="1:51" s="324" customFormat="1" ht="11.25">
      <c r="A5" s="321"/>
      <c r="B5" s="337"/>
      <c r="C5" s="321" t="s">
        <v>418</v>
      </c>
      <c r="D5" s="321" t="s">
        <v>419</v>
      </c>
      <c r="E5" s="321" t="s">
        <v>420</v>
      </c>
      <c r="F5" s="321"/>
      <c r="G5" s="321" t="s">
        <v>485</v>
      </c>
      <c r="H5" s="321" t="s">
        <v>485</v>
      </c>
      <c r="I5" s="321" t="s">
        <v>409</v>
      </c>
      <c r="J5" s="321" t="s">
        <v>410</v>
      </c>
      <c r="K5" s="321" t="s">
        <v>411</v>
      </c>
      <c r="L5" s="321" t="s">
        <v>376</v>
      </c>
      <c r="M5" s="321" t="s">
        <v>377</v>
      </c>
      <c r="N5" s="321" t="s">
        <v>379</v>
      </c>
      <c r="O5" s="321" t="s">
        <v>378</v>
      </c>
      <c r="P5" s="321"/>
      <c r="Q5" s="321" t="s">
        <v>372</v>
      </c>
      <c r="R5" s="321" t="s">
        <v>373</v>
      </c>
      <c r="S5" s="321" t="s">
        <v>374</v>
      </c>
      <c r="T5" s="321" t="s">
        <v>412</v>
      </c>
      <c r="U5" s="321" t="s">
        <v>409</v>
      </c>
      <c r="V5" s="321" t="s">
        <v>410</v>
      </c>
      <c r="W5" s="321" t="s">
        <v>411</v>
      </c>
      <c r="X5" s="321" t="s">
        <v>409</v>
      </c>
      <c r="Y5" s="321" t="s">
        <v>410</v>
      </c>
      <c r="Z5" s="321"/>
      <c r="AA5" s="321"/>
      <c r="AB5" s="321"/>
      <c r="AC5" s="321"/>
      <c r="AD5" s="321" t="s">
        <v>379</v>
      </c>
      <c r="AE5" s="321" t="s">
        <v>378</v>
      </c>
      <c r="AF5" s="321"/>
      <c r="AG5" s="321" t="s">
        <v>361</v>
      </c>
      <c r="AH5" s="321" t="s">
        <v>362</v>
      </c>
      <c r="AI5" s="321" t="s">
        <v>363</v>
      </c>
      <c r="AJ5" s="321" t="s">
        <v>413</v>
      </c>
      <c r="AK5" s="321" t="s">
        <v>414</v>
      </c>
      <c r="AL5" s="321" t="s">
        <v>415</v>
      </c>
      <c r="AM5" s="321" t="s">
        <v>358</v>
      </c>
      <c r="AN5" s="321" t="s">
        <v>359</v>
      </c>
      <c r="AO5" s="321" t="s">
        <v>360</v>
      </c>
      <c r="AP5" s="321" t="s">
        <v>80</v>
      </c>
      <c r="AQ5" s="321"/>
      <c r="AR5" s="321"/>
      <c r="AS5" s="333"/>
      <c r="AT5" s="334" t="s">
        <v>520</v>
      </c>
      <c r="AU5" s="321"/>
      <c r="AV5" s="321"/>
      <c r="AW5" s="335"/>
      <c r="AX5" s="335"/>
      <c r="AY5" s="321"/>
    </row>
    <row r="6" spans="1:51" s="41" customFormat="1" ht="12.75">
      <c r="A6" s="38" t="s">
        <v>423</v>
      </c>
      <c r="B6" s="340"/>
      <c r="F6" s="90"/>
      <c r="G6" s="339" t="s">
        <v>484</v>
      </c>
      <c r="H6" s="339" t="s">
        <v>486</v>
      </c>
      <c r="P6" s="90"/>
      <c r="Q6" s="90"/>
      <c r="R6" s="90"/>
      <c r="S6" s="90"/>
      <c r="T6" s="90"/>
      <c r="Z6" s="90"/>
      <c r="AA6" s="90"/>
      <c r="AB6" s="90"/>
      <c r="AC6" s="90"/>
      <c r="AF6" s="90"/>
      <c r="AP6" s="339" t="s">
        <v>473</v>
      </c>
      <c r="AQ6" s="90"/>
      <c r="AR6" s="90"/>
      <c r="AS6" s="30"/>
      <c r="AU6" s="30"/>
      <c r="AV6" s="30"/>
      <c r="AW6" s="30"/>
      <c r="AX6" s="30"/>
      <c r="AY6" s="30"/>
    </row>
    <row r="7" ht="12.75">
      <c r="AQ7" s="79"/>
    </row>
    <row r="8" spans="1:51" ht="12.75">
      <c r="A8" s="30" t="s">
        <v>464</v>
      </c>
      <c r="B8" s="338">
        <v>1</v>
      </c>
      <c r="C8" s="342">
        <v>0.1286</v>
      </c>
      <c r="D8" s="343">
        <v>0.09</v>
      </c>
      <c r="E8" s="245">
        <v>0.0703</v>
      </c>
      <c r="F8" s="106">
        <f>+F71</f>
        <v>0.1226830372560157</v>
      </c>
      <c r="G8" s="106">
        <f>+G71</f>
        <v>0.23905790350988143</v>
      </c>
      <c r="H8" s="106">
        <f>+H71</f>
        <v>0.19151847465495808</v>
      </c>
      <c r="I8" s="336">
        <v>0.1379</v>
      </c>
      <c r="J8" s="336">
        <v>0.1029</v>
      </c>
      <c r="K8" s="311">
        <v>0.0534</v>
      </c>
      <c r="L8" s="244">
        <v>0.077</v>
      </c>
      <c r="M8" s="244">
        <v>0.067</v>
      </c>
      <c r="N8" s="336">
        <v>0.0806</v>
      </c>
      <c r="O8" s="336">
        <v>0.1011</v>
      </c>
      <c r="P8" s="106">
        <f>+P71</f>
        <v>0.1059749016968401</v>
      </c>
      <c r="Q8" s="245">
        <v>0.123</v>
      </c>
      <c r="R8" s="245">
        <v>0.136</v>
      </c>
      <c r="S8" s="245">
        <v>0.097</v>
      </c>
      <c r="T8" s="245">
        <v>0.059</v>
      </c>
      <c r="U8" s="242">
        <v>0.16</v>
      </c>
      <c r="V8" s="242">
        <v>0.127</v>
      </c>
      <c r="W8" s="242">
        <v>0.064</v>
      </c>
      <c r="X8" s="106">
        <f>+X71</f>
        <v>0.07163197075174077</v>
      </c>
      <c r="Y8" s="106">
        <f>+Y71</f>
        <v>0.09727796504631048</v>
      </c>
      <c r="Z8" s="106">
        <f>+Z71</f>
        <v>0.11823834380726139</v>
      </c>
      <c r="AA8" s="242">
        <v>0.0928</v>
      </c>
      <c r="AB8" s="106">
        <f>+AB71</f>
        <v>0.21261355629744227</v>
      </c>
      <c r="AC8" s="106">
        <f>+AC71</f>
        <v>0.07962917045213258</v>
      </c>
      <c r="AD8" s="106">
        <f>+AD71</f>
        <v>0.17591868792425913</v>
      </c>
      <c r="AE8" s="106">
        <f>+AE71</f>
        <v>0.22836800451860895</v>
      </c>
      <c r="AF8" s="242">
        <v>0.0894</v>
      </c>
      <c r="AG8" s="311">
        <v>0.1594</v>
      </c>
      <c r="AH8" s="311">
        <v>0.1292</v>
      </c>
      <c r="AI8" s="311">
        <v>0.0808</v>
      </c>
      <c r="AJ8" s="106">
        <f>+AJ71</f>
        <v>0.13214632765781764</v>
      </c>
      <c r="AK8" s="106">
        <f>+AK71</f>
        <v>0.10355940002376807</v>
      </c>
      <c r="AL8" s="106">
        <f>+AL71</f>
        <v>0.0707563890274765</v>
      </c>
      <c r="AM8" s="242">
        <v>0.0885</v>
      </c>
      <c r="AN8" s="242">
        <v>0.1206</v>
      </c>
      <c r="AO8" s="242">
        <v>0.1357</v>
      </c>
      <c r="AP8" s="242">
        <v>0.063</v>
      </c>
      <c r="AQ8" s="106">
        <f>+AQ71</f>
        <v>0.07533465374214421</v>
      </c>
      <c r="AR8" s="106">
        <f>+AR71</f>
        <v>0.13283876949785434</v>
      </c>
      <c r="AS8" s="174"/>
      <c r="AT8" s="360">
        <f>+AT71</f>
        <v>0.13332437071909942</v>
      </c>
      <c r="AU8" s="65"/>
      <c r="AV8" s="75"/>
      <c r="AW8" s="65"/>
      <c r="AX8" s="97"/>
      <c r="AY8" s="97"/>
    </row>
    <row r="9" spans="1:51" s="82" customFormat="1" ht="12.75">
      <c r="A9" s="302" t="s">
        <v>495</v>
      </c>
      <c r="B9" s="344">
        <v>2</v>
      </c>
      <c r="C9" s="83">
        <v>0.0035</v>
      </c>
      <c r="D9" s="313" t="s">
        <v>565</v>
      </c>
      <c r="E9" s="247" t="s">
        <v>566</v>
      </c>
      <c r="F9" s="49">
        <v>0.041</v>
      </c>
      <c r="G9" s="381" t="s">
        <v>565</v>
      </c>
      <c r="H9" s="381"/>
      <c r="I9" s="49">
        <v>-0.0086</v>
      </c>
      <c r="J9" s="365" t="s">
        <v>563</v>
      </c>
      <c r="K9" s="365" t="s">
        <v>564</v>
      </c>
      <c r="L9" s="49">
        <v>0.021</v>
      </c>
      <c r="M9" s="49">
        <v>0.066</v>
      </c>
      <c r="N9" s="49">
        <v>0.078</v>
      </c>
      <c r="O9" s="49">
        <v>0.0896</v>
      </c>
      <c r="P9" s="247" t="s">
        <v>548</v>
      </c>
      <c r="Q9" s="49">
        <v>0.006</v>
      </c>
      <c r="R9" s="49">
        <v>0.02</v>
      </c>
      <c r="S9" s="49">
        <v>0.041</v>
      </c>
      <c r="T9" s="247" t="s">
        <v>546</v>
      </c>
      <c r="U9" s="47">
        <v>0.029</v>
      </c>
      <c r="V9" s="243" t="s">
        <v>570</v>
      </c>
      <c r="W9" s="243" t="s">
        <v>553</v>
      </c>
      <c r="X9" s="47">
        <v>0.022</v>
      </c>
      <c r="Y9" s="47">
        <v>0.066</v>
      </c>
      <c r="Z9" s="53">
        <v>0.056</v>
      </c>
      <c r="AA9" s="247" t="s">
        <v>530</v>
      </c>
      <c r="AB9" s="197">
        <v>0.0397</v>
      </c>
      <c r="AC9" s="48">
        <v>0.0485</v>
      </c>
      <c r="AD9" s="47">
        <v>0.0833</v>
      </c>
      <c r="AE9" s="47">
        <v>0.0813</v>
      </c>
      <c r="AF9" s="49">
        <v>0.0304</v>
      </c>
      <c r="AG9" s="54">
        <v>0.0194</v>
      </c>
      <c r="AH9" s="54">
        <v>0.021</v>
      </c>
      <c r="AI9" s="54">
        <v>0.0284</v>
      </c>
      <c r="AJ9" s="47">
        <v>0.0324</v>
      </c>
      <c r="AK9" s="243" t="s">
        <v>568</v>
      </c>
      <c r="AL9" s="243" t="s">
        <v>567</v>
      </c>
      <c r="AM9" s="47">
        <v>0.0506</v>
      </c>
      <c r="AN9" s="47">
        <v>0.0486</v>
      </c>
      <c r="AO9" s="47">
        <v>0.0417</v>
      </c>
      <c r="AP9" s="47">
        <v>0.0633</v>
      </c>
      <c r="AQ9" s="243" t="s">
        <v>530</v>
      </c>
      <c r="AR9" s="49">
        <v>0.0338</v>
      </c>
      <c r="AT9" s="53"/>
      <c r="AU9" s="53"/>
      <c r="AV9" s="18"/>
      <c r="AW9" s="18"/>
      <c r="AX9" s="53"/>
      <c r="AY9" s="53"/>
    </row>
    <row r="10" spans="1:59" ht="22.5" customHeight="1">
      <c r="A10" s="102" t="s">
        <v>219</v>
      </c>
      <c r="B10" s="345"/>
      <c r="C10" s="51">
        <v>65.7</v>
      </c>
      <c r="D10" s="51">
        <v>82.3</v>
      </c>
      <c r="E10" s="51">
        <v>0</v>
      </c>
      <c r="F10" s="51">
        <v>36.7</v>
      </c>
      <c r="G10" s="51">
        <v>36.4</v>
      </c>
      <c r="H10" s="51">
        <v>20.8</v>
      </c>
      <c r="I10" s="51">
        <v>94.6</v>
      </c>
      <c r="J10" s="51">
        <v>100</v>
      </c>
      <c r="K10" s="51">
        <v>0</v>
      </c>
      <c r="L10" s="51">
        <v>33.4</v>
      </c>
      <c r="M10" s="51">
        <v>0</v>
      </c>
      <c r="N10" s="51">
        <v>22.9</v>
      </c>
      <c r="O10" s="51">
        <v>42.8</v>
      </c>
      <c r="P10" s="51">
        <v>100</v>
      </c>
      <c r="Q10" s="51">
        <v>77</v>
      </c>
      <c r="R10" s="51">
        <v>85</v>
      </c>
      <c r="S10" s="51">
        <v>89.4</v>
      </c>
      <c r="T10" s="51">
        <v>0</v>
      </c>
      <c r="U10" s="52">
        <v>49.6</v>
      </c>
      <c r="V10" s="52">
        <v>32.4</v>
      </c>
      <c r="W10" s="52">
        <v>0</v>
      </c>
      <c r="X10" s="51">
        <v>39</v>
      </c>
      <c r="Y10" s="51">
        <v>0</v>
      </c>
      <c r="Z10" s="51">
        <v>25.2</v>
      </c>
      <c r="AA10" s="52">
        <v>100</v>
      </c>
      <c r="AB10" s="52">
        <v>55.1</v>
      </c>
      <c r="AC10" s="51">
        <v>32.8</v>
      </c>
      <c r="AD10" s="51">
        <v>31.77</v>
      </c>
      <c r="AE10" s="51">
        <v>56.91</v>
      </c>
      <c r="AF10" s="51">
        <v>33.8</v>
      </c>
      <c r="AG10" s="52">
        <v>99.1</v>
      </c>
      <c r="AH10" s="52">
        <v>98.2</v>
      </c>
      <c r="AI10" s="52">
        <v>98.3</v>
      </c>
      <c r="AJ10" s="51">
        <v>78.1</v>
      </c>
      <c r="AK10" s="51">
        <v>98.3</v>
      </c>
      <c r="AL10" s="51">
        <v>0</v>
      </c>
      <c r="AM10" s="52">
        <v>99.6</v>
      </c>
      <c r="AN10" s="52">
        <v>99.9</v>
      </c>
      <c r="AO10" s="52">
        <v>99.7</v>
      </c>
      <c r="AP10" s="52">
        <v>0</v>
      </c>
      <c r="AQ10" s="51">
        <v>30</v>
      </c>
      <c r="AR10" s="51">
        <v>90.06</v>
      </c>
      <c r="AT10" s="65">
        <f aca="true" t="shared" si="0" ref="AT10:AT15">+AT87/$AT$93</f>
        <v>0.6561014234533499</v>
      </c>
      <c r="AU10" s="62"/>
      <c r="AV10" s="65"/>
      <c r="AW10" s="65"/>
      <c r="AX10" s="51"/>
      <c r="AY10" s="51"/>
      <c r="AZ10" s="51"/>
      <c r="BA10" s="51"/>
      <c r="BB10" s="51"/>
      <c r="BC10" s="51"/>
      <c r="BD10" s="51"/>
      <c r="BE10" s="51"/>
      <c r="BF10" s="51"/>
      <c r="BG10" s="51"/>
    </row>
    <row r="11" spans="1:59" ht="12.75">
      <c r="A11" s="33" t="s">
        <v>220</v>
      </c>
      <c r="B11" s="345"/>
      <c r="C11" s="51">
        <v>34.3</v>
      </c>
      <c r="D11" s="51">
        <v>17.7</v>
      </c>
      <c r="E11" s="51">
        <v>0</v>
      </c>
      <c r="F11" s="51">
        <v>35.8</v>
      </c>
      <c r="G11" s="51">
        <v>63.4</v>
      </c>
      <c r="H11" s="51">
        <v>79.2</v>
      </c>
      <c r="I11" s="51">
        <v>5.4</v>
      </c>
      <c r="J11" s="51">
        <v>0</v>
      </c>
      <c r="K11" s="51">
        <v>0</v>
      </c>
      <c r="L11" s="51">
        <v>28.3</v>
      </c>
      <c r="M11" s="51">
        <v>42.5</v>
      </c>
      <c r="N11" s="51">
        <v>68</v>
      </c>
      <c r="O11" s="51">
        <v>42.7</v>
      </c>
      <c r="P11" s="51">
        <v>0</v>
      </c>
      <c r="Q11" s="51">
        <v>16.6</v>
      </c>
      <c r="R11" s="51">
        <v>5.3</v>
      </c>
      <c r="S11" s="51">
        <v>3.8</v>
      </c>
      <c r="T11" s="51">
        <v>0</v>
      </c>
      <c r="U11" s="52">
        <v>36.4</v>
      </c>
      <c r="V11" s="52">
        <v>66.7</v>
      </c>
      <c r="W11" s="52">
        <v>0</v>
      </c>
      <c r="X11" s="51">
        <v>33.2</v>
      </c>
      <c r="Y11" s="51">
        <v>53.8</v>
      </c>
      <c r="Z11" s="51">
        <v>46.5</v>
      </c>
      <c r="AA11" s="52">
        <v>0</v>
      </c>
      <c r="AB11" s="52">
        <v>44.9</v>
      </c>
      <c r="AC11" s="51">
        <v>51.52</v>
      </c>
      <c r="AD11" s="51">
        <v>68.23</v>
      </c>
      <c r="AE11" s="51">
        <v>43.09</v>
      </c>
      <c r="AF11" s="51">
        <v>66.2</v>
      </c>
      <c r="AG11" s="52">
        <v>0.9</v>
      </c>
      <c r="AH11" s="52">
        <v>1.8</v>
      </c>
      <c r="AI11" s="52">
        <v>0.9</v>
      </c>
      <c r="AJ11" s="51">
        <v>18.58</v>
      </c>
      <c r="AK11" s="51">
        <v>0</v>
      </c>
      <c r="AL11" s="51">
        <v>0</v>
      </c>
      <c r="AM11" s="52">
        <v>0</v>
      </c>
      <c r="AN11" s="52">
        <v>0</v>
      </c>
      <c r="AO11" s="52">
        <v>0</v>
      </c>
      <c r="AP11" s="52">
        <v>0</v>
      </c>
      <c r="AQ11" s="51">
        <v>70</v>
      </c>
      <c r="AR11" s="51">
        <v>4.13</v>
      </c>
      <c r="AT11" s="65">
        <f t="shared" si="0"/>
        <v>0.19049040245223017</v>
      </c>
      <c r="AU11" s="62"/>
      <c r="AV11" s="65"/>
      <c r="AW11" s="65"/>
      <c r="AX11" s="51"/>
      <c r="AY11" s="51"/>
      <c r="AZ11" s="51"/>
      <c r="BA11" s="51"/>
      <c r="BB11" s="51"/>
      <c r="BC11" s="51"/>
      <c r="BD11" s="51"/>
      <c r="BE11" s="51"/>
      <c r="BF11" s="51"/>
      <c r="BG11" s="51"/>
    </row>
    <row r="12" spans="1:59" ht="12.75">
      <c r="A12" s="33" t="s">
        <v>221</v>
      </c>
      <c r="B12" s="345"/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2">
        <v>1.3</v>
      </c>
      <c r="V12" s="52">
        <v>0</v>
      </c>
      <c r="W12" s="52">
        <v>0</v>
      </c>
      <c r="X12" s="51">
        <v>0</v>
      </c>
      <c r="Y12" s="51">
        <v>0</v>
      </c>
      <c r="Z12" s="51">
        <v>2.4</v>
      </c>
      <c r="AA12" s="52">
        <v>0</v>
      </c>
      <c r="AB12" s="52">
        <v>0</v>
      </c>
      <c r="AC12" s="51">
        <v>0</v>
      </c>
      <c r="AD12" s="51">
        <v>0</v>
      </c>
      <c r="AE12" s="51">
        <v>0</v>
      </c>
      <c r="AF12" s="51">
        <v>0</v>
      </c>
      <c r="AG12" s="52">
        <v>0</v>
      </c>
      <c r="AH12" s="52">
        <v>0</v>
      </c>
      <c r="AI12" s="52">
        <v>0</v>
      </c>
      <c r="AJ12" s="51">
        <v>1.22</v>
      </c>
      <c r="AK12" s="51">
        <v>0.73</v>
      </c>
      <c r="AL12" s="51">
        <v>0</v>
      </c>
      <c r="AM12" s="52">
        <v>0.4</v>
      </c>
      <c r="AN12" s="52">
        <v>0.1</v>
      </c>
      <c r="AO12" s="52">
        <v>0.3</v>
      </c>
      <c r="AP12" s="52">
        <v>100</v>
      </c>
      <c r="AQ12" s="51">
        <v>0</v>
      </c>
      <c r="AR12" s="51">
        <v>0.01</v>
      </c>
      <c r="AT12" s="65">
        <f t="shared" si="0"/>
        <v>0.00967207607058276</v>
      </c>
      <c r="AU12" s="62"/>
      <c r="AV12" s="65"/>
      <c r="AW12" s="65"/>
      <c r="AX12" s="51"/>
      <c r="AY12" s="51"/>
      <c r="AZ12" s="51"/>
      <c r="BA12" s="51"/>
      <c r="BB12" s="51"/>
      <c r="BC12" s="51"/>
      <c r="BD12" s="51"/>
      <c r="BE12" s="51"/>
      <c r="BF12" s="51"/>
      <c r="BG12" s="51"/>
    </row>
    <row r="13" spans="1:59" ht="12.75">
      <c r="A13" s="33" t="s">
        <v>222</v>
      </c>
      <c r="B13" s="345"/>
      <c r="C13" s="51">
        <v>0</v>
      </c>
      <c r="D13" s="51">
        <v>0</v>
      </c>
      <c r="E13" s="51">
        <v>0</v>
      </c>
      <c r="F13" s="51">
        <v>8.8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2.2</v>
      </c>
      <c r="R13" s="51">
        <v>3.1</v>
      </c>
      <c r="S13" s="51">
        <v>2.3</v>
      </c>
      <c r="T13" s="51">
        <v>0</v>
      </c>
      <c r="U13" s="52">
        <v>11.6</v>
      </c>
      <c r="V13" s="52">
        <v>0.9</v>
      </c>
      <c r="W13" s="52">
        <v>0</v>
      </c>
      <c r="X13" s="51">
        <v>0</v>
      </c>
      <c r="Y13" s="51">
        <v>0</v>
      </c>
      <c r="Z13" s="51">
        <v>4.7</v>
      </c>
      <c r="AA13" s="52">
        <v>0</v>
      </c>
      <c r="AB13" s="52">
        <v>0</v>
      </c>
      <c r="AC13" s="51">
        <v>0</v>
      </c>
      <c r="AD13" s="51">
        <v>0</v>
      </c>
      <c r="AE13" s="51">
        <v>0</v>
      </c>
      <c r="AF13" s="51">
        <v>0</v>
      </c>
      <c r="AG13" s="52">
        <v>0</v>
      </c>
      <c r="AH13" s="52">
        <v>0</v>
      </c>
      <c r="AI13" s="52">
        <v>0.8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1">
        <v>0.26</v>
      </c>
      <c r="AT13" s="65">
        <f t="shared" si="0"/>
        <v>0.04549378087234275</v>
      </c>
      <c r="AU13" s="62"/>
      <c r="AV13" s="65"/>
      <c r="AW13" s="65"/>
      <c r="AX13" s="51"/>
      <c r="AY13" s="51"/>
      <c r="AZ13" s="51"/>
      <c r="BA13" s="51"/>
      <c r="BB13" s="51"/>
      <c r="BC13" s="51"/>
      <c r="BD13" s="51"/>
      <c r="BE13" s="51"/>
      <c r="BF13" s="51"/>
      <c r="BG13" s="51"/>
    </row>
    <row r="14" spans="1:59" ht="12.75">
      <c r="A14" s="33" t="s">
        <v>223</v>
      </c>
      <c r="B14" s="345"/>
      <c r="C14" s="51">
        <v>0</v>
      </c>
      <c r="D14" s="51">
        <v>0</v>
      </c>
      <c r="E14" s="51">
        <v>0</v>
      </c>
      <c r="F14" s="51">
        <v>18.7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38.3</v>
      </c>
      <c r="M14" s="51">
        <v>57.5</v>
      </c>
      <c r="N14" s="51">
        <v>0</v>
      </c>
      <c r="O14" s="51">
        <v>0</v>
      </c>
      <c r="P14" s="51">
        <v>0</v>
      </c>
      <c r="Q14" s="51">
        <v>4.2</v>
      </c>
      <c r="R14" s="51">
        <v>6.6</v>
      </c>
      <c r="S14" s="51">
        <v>4.5</v>
      </c>
      <c r="T14" s="51">
        <v>0</v>
      </c>
      <c r="U14" s="52">
        <v>1.1</v>
      </c>
      <c r="V14" s="52">
        <v>0</v>
      </c>
      <c r="W14" s="52">
        <v>0</v>
      </c>
      <c r="X14" s="51">
        <v>27.8</v>
      </c>
      <c r="Y14" s="51">
        <v>46.2</v>
      </c>
      <c r="Z14" s="51">
        <v>20</v>
      </c>
      <c r="AA14" s="52">
        <v>0</v>
      </c>
      <c r="AB14" s="52">
        <v>0</v>
      </c>
      <c r="AC14" s="51">
        <v>0</v>
      </c>
      <c r="AD14" s="51">
        <v>0</v>
      </c>
      <c r="AE14" s="51">
        <v>0</v>
      </c>
      <c r="AF14" s="51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1">
        <v>5.55</v>
      </c>
      <c r="AT14" s="65">
        <f t="shared" si="0"/>
        <v>0.04189131274658138</v>
      </c>
      <c r="AU14" s="62"/>
      <c r="AV14" s="65"/>
      <c r="AW14" s="65"/>
      <c r="AX14" s="51"/>
      <c r="AY14" s="51"/>
      <c r="AZ14" s="51"/>
      <c r="BA14" s="51"/>
      <c r="BB14" s="51"/>
      <c r="BC14" s="51"/>
      <c r="BD14" s="51"/>
      <c r="BE14" s="51"/>
      <c r="BF14" s="51"/>
      <c r="BG14" s="51"/>
    </row>
    <row r="15" spans="1:59" ht="12.75">
      <c r="A15" s="33" t="s">
        <v>224</v>
      </c>
      <c r="B15" s="345"/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100</v>
      </c>
      <c r="L15" s="51">
        <v>0</v>
      </c>
      <c r="M15" s="51">
        <v>0</v>
      </c>
      <c r="N15" s="51">
        <v>9.1</v>
      </c>
      <c r="O15" s="51">
        <v>14.5</v>
      </c>
      <c r="P15" s="51">
        <v>0</v>
      </c>
      <c r="Q15" s="51">
        <v>0</v>
      </c>
      <c r="R15" s="51">
        <v>0</v>
      </c>
      <c r="S15" s="51">
        <v>0</v>
      </c>
      <c r="T15" s="51">
        <v>100</v>
      </c>
      <c r="U15" s="52">
        <v>0</v>
      </c>
      <c r="V15" s="52">
        <v>0</v>
      </c>
      <c r="W15" s="52">
        <v>100</v>
      </c>
      <c r="X15" s="51">
        <v>0</v>
      </c>
      <c r="Y15" s="51">
        <v>0</v>
      </c>
      <c r="Z15" s="51">
        <v>1.2</v>
      </c>
      <c r="AA15" s="52">
        <v>0</v>
      </c>
      <c r="AB15" s="52">
        <v>0</v>
      </c>
      <c r="AC15" s="51">
        <v>15.68</v>
      </c>
      <c r="AD15" s="51">
        <v>0</v>
      </c>
      <c r="AE15" s="51">
        <v>0</v>
      </c>
      <c r="AF15" s="51">
        <v>0</v>
      </c>
      <c r="AG15" s="52">
        <v>0</v>
      </c>
      <c r="AH15" s="52">
        <v>0</v>
      </c>
      <c r="AI15" s="52">
        <v>0</v>
      </c>
      <c r="AJ15" s="52">
        <v>2.1</v>
      </c>
      <c r="AK15" s="52">
        <v>0.97</v>
      </c>
      <c r="AL15" s="52">
        <v>100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1">
        <v>0</v>
      </c>
      <c r="AT15" s="65">
        <f t="shared" si="0"/>
        <v>0.056351004404912954</v>
      </c>
      <c r="AU15" s="63"/>
      <c r="AV15" s="65"/>
      <c r="AW15" s="65"/>
      <c r="AX15" s="51"/>
      <c r="AY15" s="51"/>
      <c r="AZ15" s="51"/>
      <c r="BA15" s="51"/>
      <c r="BB15" s="51"/>
      <c r="BC15" s="51"/>
      <c r="BD15" s="51"/>
      <c r="BE15" s="51"/>
      <c r="BF15" s="51"/>
      <c r="BG15" s="51"/>
    </row>
    <row r="16" spans="1:51" s="118" customFormat="1" ht="12.75">
      <c r="A16" s="116" t="s">
        <v>465</v>
      </c>
      <c r="B16" s="346">
        <v>3</v>
      </c>
      <c r="C16" s="50">
        <f>SUM(C10:C15)</f>
        <v>100</v>
      </c>
      <c r="D16" s="50">
        <f aca="true" t="shared" si="1" ref="D16:AR16">SUM(D10:D15)</f>
        <v>100</v>
      </c>
      <c r="E16" s="50">
        <f t="shared" si="1"/>
        <v>0</v>
      </c>
      <c r="F16" s="50">
        <f t="shared" si="1"/>
        <v>100</v>
      </c>
      <c r="G16" s="50">
        <f t="shared" si="1"/>
        <v>99.8</v>
      </c>
      <c r="H16" s="50">
        <f t="shared" si="1"/>
        <v>100</v>
      </c>
      <c r="I16" s="50">
        <f t="shared" si="1"/>
        <v>100</v>
      </c>
      <c r="J16" s="50">
        <f t="shared" si="1"/>
        <v>100</v>
      </c>
      <c r="K16" s="50">
        <f t="shared" si="1"/>
        <v>100</v>
      </c>
      <c r="L16" s="50">
        <f t="shared" si="1"/>
        <v>100</v>
      </c>
      <c r="M16" s="50">
        <f t="shared" si="1"/>
        <v>100</v>
      </c>
      <c r="N16" s="50">
        <f t="shared" si="1"/>
        <v>100</v>
      </c>
      <c r="O16" s="50">
        <f t="shared" si="1"/>
        <v>100</v>
      </c>
      <c r="P16" s="50">
        <f t="shared" si="1"/>
        <v>100</v>
      </c>
      <c r="Q16" s="50">
        <f t="shared" si="1"/>
        <v>100</v>
      </c>
      <c r="R16" s="50">
        <f t="shared" si="1"/>
        <v>99.99999999999999</v>
      </c>
      <c r="S16" s="50">
        <f t="shared" si="1"/>
        <v>100</v>
      </c>
      <c r="T16" s="50">
        <f t="shared" si="1"/>
        <v>100</v>
      </c>
      <c r="U16" s="50">
        <f t="shared" si="1"/>
        <v>99.99999999999999</v>
      </c>
      <c r="V16" s="50">
        <f t="shared" si="1"/>
        <v>100</v>
      </c>
      <c r="W16" s="50">
        <f t="shared" si="1"/>
        <v>100</v>
      </c>
      <c r="X16" s="50">
        <f t="shared" si="1"/>
        <v>100</v>
      </c>
      <c r="Y16" s="50">
        <f t="shared" si="1"/>
        <v>100</v>
      </c>
      <c r="Z16" s="50">
        <f t="shared" si="1"/>
        <v>100.00000000000001</v>
      </c>
      <c r="AA16" s="50">
        <f t="shared" si="1"/>
        <v>100</v>
      </c>
      <c r="AB16" s="50">
        <f t="shared" si="1"/>
        <v>100</v>
      </c>
      <c r="AC16" s="50">
        <f t="shared" si="1"/>
        <v>100</v>
      </c>
      <c r="AD16" s="50">
        <f t="shared" si="1"/>
        <v>100</v>
      </c>
      <c r="AE16" s="50">
        <f t="shared" si="1"/>
        <v>100</v>
      </c>
      <c r="AF16" s="50">
        <f t="shared" si="1"/>
        <v>100</v>
      </c>
      <c r="AG16" s="31">
        <f>SUM(AG10:AG15)</f>
        <v>100</v>
      </c>
      <c r="AH16" s="31">
        <f>SUM(AH10:AH15)</f>
        <v>100</v>
      </c>
      <c r="AI16" s="31">
        <f>SUM(AI10:AI15)</f>
        <v>100</v>
      </c>
      <c r="AJ16" s="50">
        <f t="shared" si="1"/>
        <v>99.99999999999999</v>
      </c>
      <c r="AK16" s="50">
        <f t="shared" si="1"/>
        <v>100</v>
      </c>
      <c r="AL16" s="50">
        <f t="shared" si="1"/>
        <v>100</v>
      </c>
      <c r="AM16" s="50">
        <f t="shared" si="1"/>
        <v>100</v>
      </c>
      <c r="AN16" s="50">
        <f t="shared" si="1"/>
        <v>100</v>
      </c>
      <c r="AO16" s="50">
        <f t="shared" si="1"/>
        <v>100</v>
      </c>
      <c r="AP16" s="50">
        <f t="shared" si="1"/>
        <v>100</v>
      </c>
      <c r="AQ16" s="50">
        <f t="shared" si="1"/>
        <v>100</v>
      </c>
      <c r="AR16" s="50">
        <f t="shared" si="1"/>
        <v>100.01</v>
      </c>
      <c r="AT16" s="115">
        <f>SUM(AT10:AT15)</f>
        <v>0.9999999999999999</v>
      </c>
      <c r="AU16" s="116"/>
      <c r="AV16" s="116"/>
      <c r="AW16" s="116"/>
      <c r="AX16" s="117"/>
      <c r="AY16" s="119"/>
    </row>
    <row r="17" spans="1:56" ht="19.5" customHeight="1">
      <c r="A17" s="102" t="s">
        <v>225</v>
      </c>
      <c r="B17" s="345"/>
      <c r="C17" s="51">
        <v>67.5</v>
      </c>
      <c r="D17" s="51">
        <v>83</v>
      </c>
      <c r="E17" s="51">
        <v>100</v>
      </c>
      <c r="F17" s="51">
        <v>76.5</v>
      </c>
      <c r="G17" s="182">
        <v>90</v>
      </c>
      <c r="H17" s="182">
        <v>85</v>
      </c>
      <c r="I17" s="51">
        <v>68</v>
      </c>
      <c r="J17" s="51">
        <v>89</v>
      </c>
      <c r="K17" s="51">
        <v>100</v>
      </c>
      <c r="L17" s="51">
        <v>65</v>
      </c>
      <c r="M17" s="51">
        <v>100</v>
      </c>
      <c r="N17" s="182">
        <v>91</v>
      </c>
      <c r="O17" s="182">
        <v>74.6</v>
      </c>
      <c r="P17" s="51">
        <v>82.28</v>
      </c>
      <c r="Q17" s="51">
        <v>59.9</v>
      </c>
      <c r="R17" s="51">
        <v>69.1</v>
      </c>
      <c r="S17" s="51">
        <v>84.8</v>
      </c>
      <c r="T17" s="51">
        <v>100</v>
      </c>
      <c r="U17" s="52">
        <v>63.6</v>
      </c>
      <c r="V17" s="52">
        <v>88.7</v>
      </c>
      <c r="W17" s="52">
        <v>100</v>
      </c>
      <c r="X17" s="52">
        <v>65</v>
      </c>
      <c r="Y17" s="52">
        <v>100</v>
      </c>
      <c r="Z17" s="51">
        <v>97.3</v>
      </c>
      <c r="AA17" s="52">
        <v>89</v>
      </c>
      <c r="AB17" s="52">
        <v>92</v>
      </c>
      <c r="AC17" s="51">
        <v>100</v>
      </c>
      <c r="AD17" s="51">
        <v>84.58</v>
      </c>
      <c r="AE17" s="51">
        <v>64.52</v>
      </c>
      <c r="AF17" s="51">
        <v>74.3</v>
      </c>
      <c r="AG17" s="52">
        <v>69.5</v>
      </c>
      <c r="AH17" s="52">
        <v>79.2</v>
      </c>
      <c r="AI17" s="52">
        <v>91.4</v>
      </c>
      <c r="AJ17" s="52">
        <v>81.2</v>
      </c>
      <c r="AK17" s="52">
        <v>85.8</v>
      </c>
      <c r="AL17" s="52">
        <v>100</v>
      </c>
      <c r="AM17" s="52">
        <v>81.99</v>
      </c>
      <c r="AN17" s="52">
        <v>69.46</v>
      </c>
      <c r="AO17" s="52">
        <v>58.39</v>
      </c>
      <c r="AP17" s="52">
        <v>100</v>
      </c>
      <c r="AQ17" s="51">
        <v>88</v>
      </c>
      <c r="AR17" s="51">
        <v>89.93</v>
      </c>
      <c r="AT17" s="65">
        <f>+AT98/$AT$100</f>
        <v>0.7243134817456579</v>
      </c>
      <c r="AU17" s="65"/>
      <c r="AV17" s="65"/>
      <c r="AW17" s="65"/>
      <c r="AX17" s="51"/>
      <c r="AY17" s="51"/>
      <c r="AZ17" s="51"/>
      <c r="BA17" s="51"/>
      <c r="BB17" s="51"/>
      <c r="BC17" s="51"/>
      <c r="BD17" s="51"/>
    </row>
    <row r="18" spans="1:56" ht="12.75">
      <c r="A18" s="33" t="s">
        <v>226</v>
      </c>
      <c r="B18" s="345"/>
      <c r="C18" s="51">
        <v>32.5</v>
      </c>
      <c r="D18" s="51">
        <v>17</v>
      </c>
      <c r="E18" s="51">
        <v>0</v>
      </c>
      <c r="F18" s="51">
        <v>23.5</v>
      </c>
      <c r="G18" s="182">
        <v>10</v>
      </c>
      <c r="H18" s="182">
        <v>15</v>
      </c>
      <c r="I18" s="51">
        <v>32</v>
      </c>
      <c r="J18" s="51">
        <v>11</v>
      </c>
      <c r="K18" s="51">
        <v>0</v>
      </c>
      <c r="L18" s="51">
        <v>35</v>
      </c>
      <c r="M18" s="51">
        <v>0</v>
      </c>
      <c r="N18" s="182">
        <v>9</v>
      </c>
      <c r="O18" s="182">
        <v>25.4</v>
      </c>
      <c r="P18" s="51">
        <v>17.72</v>
      </c>
      <c r="Q18" s="51">
        <v>40.1</v>
      </c>
      <c r="R18" s="51">
        <v>30.9</v>
      </c>
      <c r="S18" s="51">
        <v>15.2</v>
      </c>
      <c r="T18" s="51">
        <v>0</v>
      </c>
      <c r="U18" s="52">
        <v>36.4</v>
      </c>
      <c r="V18" s="52">
        <v>11.3</v>
      </c>
      <c r="W18" s="52">
        <v>0</v>
      </c>
      <c r="X18" s="52">
        <v>35</v>
      </c>
      <c r="Y18" s="52">
        <v>0</v>
      </c>
      <c r="Z18" s="51">
        <v>2.7</v>
      </c>
      <c r="AA18" s="52">
        <v>11</v>
      </c>
      <c r="AB18" s="52">
        <v>8</v>
      </c>
      <c r="AC18" s="51">
        <v>0</v>
      </c>
      <c r="AD18" s="51">
        <v>15.42</v>
      </c>
      <c r="AE18" s="51">
        <v>35.48</v>
      </c>
      <c r="AF18" s="51">
        <v>25.7</v>
      </c>
      <c r="AG18" s="52">
        <v>30.5</v>
      </c>
      <c r="AH18" s="52">
        <v>20.8</v>
      </c>
      <c r="AI18" s="52">
        <v>8.6</v>
      </c>
      <c r="AJ18" s="52">
        <v>18.8</v>
      </c>
      <c r="AK18" s="52">
        <v>14.2</v>
      </c>
      <c r="AL18" s="52">
        <v>0</v>
      </c>
      <c r="AM18" s="52">
        <v>18.01</v>
      </c>
      <c r="AN18" s="52">
        <v>30.54</v>
      </c>
      <c r="AO18" s="52">
        <v>41.61</v>
      </c>
      <c r="AP18" s="52">
        <v>0</v>
      </c>
      <c r="AQ18" s="51">
        <v>12</v>
      </c>
      <c r="AR18" s="51">
        <v>10.07</v>
      </c>
      <c r="AT18" s="65">
        <f>+AT99/$AT$100</f>
        <v>0.2756865182543421</v>
      </c>
      <c r="AU18" s="65"/>
      <c r="AV18" s="65"/>
      <c r="AW18" s="65"/>
      <c r="AX18" s="51"/>
      <c r="AY18" s="51"/>
      <c r="AZ18" s="51"/>
      <c r="BA18" s="51"/>
      <c r="BB18" s="51"/>
      <c r="BC18" s="51"/>
      <c r="BD18" s="51"/>
    </row>
    <row r="19" spans="1:51" s="118" customFormat="1" ht="12.75">
      <c r="A19" s="116" t="s">
        <v>471</v>
      </c>
      <c r="B19" s="346">
        <v>4</v>
      </c>
      <c r="C19" s="50">
        <f>SUM(C17:C18)</f>
        <v>100</v>
      </c>
      <c r="D19" s="50">
        <f aca="true" t="shared" si="2" ref="D19:AR19">SUM(D17:D18)</f>
        <v>100</v>
      </c>
      <c r="E19" s="50">
        <f t="shared" si="2"/>
        <v>100</v>
      </c>
      <c r="F19" s="50">
        <f t="shared" si="2"/>
        <v>100</v>
      </c>
      <c r="G19" s="50">
        <f t="shared" si="2"/>
        <v>100</v>
      </c>
      <c r="H19" s="50">
        <f t="shared" si="2"/>
        <v>100</v>
      </c>
      <c r="I19" s="50">
        <f t="shared" si="2"/>
        <v>100</v>
      </c>
      <c r="J19" s="50">
        <f t="shared" si="2"/>
        <v>100</v>
      </c>
      <c r="K19" s="50">
        <f t="shared" si="2"/>
        <v>100</v>
      </c>
      <c r="L19" s="50">
        <f t="shared" si="2"/>
        <v>100</v>
      </c>
      <c r="M19" s="50">
        <f t="shared" si="2"/>
        <v>100</v>
      </c>
      <c r="N19" s="50">
        <f t="shared" si="2"/>
        <v>100</v>
      </c>
      <c r="O19" s="50">
        <f t="shared" si="2"/>
        <v>100</v>
      </c>
      <c r="P19" s="50">
        <f t="shared" si="2"/>
        <v>100</v>
      </c>
      <c r="Q19" s="50">
        <f t="shared" si="2"/>
        <v>100</v>
      </c>
      <c r="R19" s="50">
        <f t="shared" si="2"/>
        <v>100</v>
      </c>
      <c r="S19" s="50">
        <f t="shared" si="2"/>
        <v>100</v>
      </c>
      <c r="T19" s="50">
        <f t="shared" si="2"/>
        <v>100</v>
      </c>
      <c r="U19" s="50">
        <f t="shared" si="2"/>
        <v>100</v>
      </c>
      <c r="V19" s="50">
        <f t="shared" si="2"/>
        <v>100</v>
      </c>
      <c r="W19" s="50">
        <f t="shared" si="2"/>
        <v>100</v>
      </c>
      <c r="X19" s="50">
        <f t="shared" si="2"/>
        <v>100</v>
      </c>
      <c r="Y19" s="50">
        <f t="shared" si="2"/>
        <v>100</v>
      </c>
      <c r="Z19" s="50">
        <f t="shared" si="2"/>
        <v>100</v>
      </c>
      <c r="AA19" s="50">
        <f t="shared" si="2"/>
        <v>100</v>
      </c>
      <c r="AB19" s="50">
        <f t="shared" si="2"/>
        <v>100</v>
      </c>
      <c r="AC19" s="50">
        <f t="shared" si="2"/>
        <v>100</v>
      </c>
      <c r="AD19" s="50">
        <f t="shared" si="2"/>
        <v>100</v>
      </c>
      <c r="AE19" s="50">
        <f t="shared" si="2"/>
        <v>100</v>
      </c>
      <c r="AF19" s="50">
        <f t="shared" si="2"/>
        <v>100</v>
      </c>
      <c r="AG19" s="31">
        <f>SUM(AG17:AG18)</f>
        <v>100</v>
      </c>
      <c r="AH19" s="31">
        <f>SUM(AH17:AH18)</f>
        <v>100</v>
      </c>
      <c r="AI19" s="31">
        <f>SUM(AI17:AI18)</f>
        <v>100</v>
      </c>
      <c r="AJ19" s="50">
        <f t="shared" si="2"/>
        <v>100</v>
      </c>
      <c r="AK19" s="50">
        <f t="shared" si="2"/>
        <v>100</v>
      </c>
      <c r="AL19" s="50">
        <f t="shared" si="2"/>
        <v>100</v>
      </c>
      <c r="AM19" s="50">
        <f t="shared" si="2"/>
        <v>100</v>
      </c>
      <c r="AN19" s="50">
        <f t="shared" si="2"/>
        <v>100</v>
      </c>
      <c r="AO19" s="50">
        <f t="shared" si="2"/>
        <v>100</v>
      </c>
      <c r="AP19" s="50">
        <f t="shared" si="2"/>
        <v>100</v>
      </c>
      <c r="AQ19" s="50">
        <f t="shared" si="2"/>
        <v>100</v>
      </c>
      <c r="AR19" s="50">
        <f t="shared" si="2"/>
        <v>100</v>
      </c>
      <c r="AT19" s="115">
        <f>SUM(AT17:AT18)</f>
        <v>1</v>
      </c>
      <c r="AU19" s="116"/>
      <c r="AV19" s="116"/>
      <c r="AW19" s="116"/>
      <c r="AX19" s="117"/>
      <c r="AY19" s="119"/>
    </row>
    <row r="20" spans="1:51" s="76" customFormat="1" ht="21.75" customHeight="1">
      <c r="A20" s="33" t="s">
        <v>467</v>
      </c>
      <c r="B20" s="345">
        <v>5</v>
      </c>
      <c r="C20" s="50">
        <v>2649</v>
      </c>
      <c r="D20" s="50">
        <v>544</v>
      </c>
      <c r="E20" s="50">
        <v>284</v>
      </c>
      <c r="F20" s="50">
        <v>13954</v>
      </c>
      <c r="G20" s="31">
        <v>480</v>
      </c>
      <c r="H20" s="31">
        <v>11096</v>
      </c>
      <c r="I20" s="50">
        <v>2264</v>
      </c>
      <c r="J20" s="50">
        <v>175</v>
      </c>
      <c r="K20" s="50">
        <v>39</v>
      </c>
      <c r="L20" s="31">
        <v>1515</v>
      </c>
      <c r="M20" s="31">
        <v>6181</v>
      </c>
      <c r="N20" s="31">
        <v>1151</v>
      </c>
      <c r="O20" s="31">
        <v>7060</v>
      </c>
      <c r="P20" s="50">
        <v>3497</v>
      </c>
      <c r="Q20" s="380">
        <v>7879</v>
      </c>
      <c r="R20" s="380"/>
      <c r="S20" s="380"/>
      <c r="T20" s="380"/>
      <c r="U20" s="31">
        <v>4671</v>
      </c>
      <c r="V20" s="31">
        <v>248</v>
      </c>
      <c r="W20" s="31">
        <v>624</v>
      </c>
      <c r="X20" s="31">
        <v>105</v>
      </c>
      <c r="Y20" s="31">
        <v>3072</v>
      </c>
      <c r="Z20" s="50">
        <v>2026</v>
      </c>
      <c r="AA20" s="2">
        <v>1189</v>
      </c>
      <c r="AB20" s="182">
        <v>1009</v>
      </c>
      <c r="AC20" s="31">
        <v>713</v>
      </c>
      <c r="AD20" s="50">
        <v>116</v>
      </c>
      <c r="AE20" s="50">
        <v>626</v>
      </c>
      <c r="AF20" s="50">
        <v>1073</v>
      </c>
      <c r="AG20" s="31">
        <v>2842</v>
      </c>
      <c r="AH20" s="31">
        <v>1913</v>
      </c>
      <c r="AI20" s="31">
        <v>261</v>
      </c>
      <c r="AJ20" s="188">
        <v>753</v>
      </c>
      <c r="AK20" s="188">
        <v>111</v>
      </c>
      <c r="AL20" s="188">
        <v>71</v>
      </c>
      <c r="AM20" s="31">
        <v>428</v>
      </c>
      <c r="AN20" s="31">
        <v>2776</v>
      </c>
      <c r="AO20" s="31">
        <v>2346</v>
      </c>
      <c r="AP20" s="31">
        <v>165</v>
      </c>
      <c r="AQ20" s="50">
        <v>61</v>
      </c>
      <c r="AR20" s="50">
        <v>309</v>
      </c>
      <c r="AT20" s="30">
        <f>SUM(C20:AS20)</f>
        <v>86276</v>
      </c>
      <c r="AU20" s="30"/>
      <c r="AV20" s="30"/>
      <c r="AW20" s="30"/>
      <c r="AX20" s="50"/>
      <c r="AY20" s="50"/>
    </row>
    <row r="21" spans="1:51" s="76" customFormat="1" ht="12.75" customHeight="1">
      <c r="A21" s="33" t="s">
        <v>468</v>
      </c>
      <c r="B21" s="345">
        <v>6</v>
      </c>
      <c r="C21" s="50">
        <v>6.7</v>
      </c>
      <c r="D21" s="50">
        <v>0.9</v>
      </c>
      <c r="E21" s="50">
        <v>2.8</v>
      </c>
      <c r="F21" s="50">
        <v>7</v>
      </c>
      <c r="G21" s="50">
        <v>5</v>
      </c>
      <c r="H21" s="50">
        <v>23</v>
      </c>
      <c r="I21" s="50">
        <v>3</v>
      </c>
      <c r="J21" s="50">
        <v>0</v>
      </c>
      <c r="K21" s="50">
        <v>0</v>
      </c>
      <c r="L21" s="246">
        <v>4</v>
      </c>
      <c r="M21" s="246">
        <v>21</v>
      </c>
      <c r="N21" s="31">
        <v>331</v>
      </c>
      <c r="O21" s="31">
        <v>882</v>
      </c>
      <c r="P21" s="50">
        <v>3</v>
      </c>
      <c r="Q21" s="383">
        <v>235</v>
      </c>
      <c r="R21" s="383"/>
      <c r="S21" s="383"/>
      <c r="T21" s="383"/>
      <c r="U21" s="31">
        <v>469</v>
      </c>
      <c r="V21" s="31">
        <v>27</v>
      </c>
      <c r="W21" s="31">
        <v>156</v>
      </c>
      <c r="X21" s="31">
        <v>0</v>
      </c>
      <c r="Y21" s="31">
        <v>0</v>
      </c>
      <c r="Z21" s="50">
        <v>18</v>
      </c>
      <c r="AA21" s="79">
        <v>0</v>
      </c>
      <c r="AB21" s="182">
        <v>4</v>
      </c>
      <c r="AC21" s="50">
        <v>2</v>
      </c>
      <c r="AD21" s="50">
        <v>0</v>
      </c>
      <c r="AE21" s="50">
        <v>0</v>
      </c>
      <c r="AF21" s="50">
        <v>0</v>
      </c>
      <c r="AG21" s="31">
        <v>21</v>
      </c>
      <c r="AH21" s="31">
        <v>42</v>
      </c>
      <c r="AI21" s="31">
        <v>95</v>
      </c>
      <c r="AJ21" s="188">
        <v>0</v>
      </c>
      <c r="AK21" s="188">
        <v>0</v>
      </c>
      <c r="AL21" s="188" t="s">
        <v>506</v>
      </c>
      <c r="AM21" s="31">
        <v>16</v>
      </c>
      <c r="AN21" s="31">
        <v>6</v>
      </c>
      <c r="AO21" s="31">
        <v>1</v>
      </c>
      <c r="AP21" s="31">
        <v>5</v>
      </c>
      <c r="AQ21" s="50">
        <v>0</v>
      </c>
      <c r="AR21" s="50">
        <v>21</v>
      </c>
      <c r="AT21" s="30">
        <f>SUM(C21:AS21)</f>
        <v>2407.4</v>
      </c>
      <c r="AU21" s="30"/>
      <c r="AV21" s="30"/>
      <c r="AW21" s="30"/>
      <c r="AX21" s="50"/>
      <c r="AY21" s="50"/>
    </row>
    <row r="22" spans="1:51" ht="17.25" customHeight="1">
      <c r="A22" s="33" t="s">
        <v>227</v>
      </c>
      <c r="B22" s="345"/>
      <c r="C22" s="51">
        <v>92</v>
      </c>
      <c r="D22" s="51">
        <v>79.2</v>
      </c>
      <c r="E22" s="51">
        <v>100</v>
      </c>
      <c r="F22" s="51">
        <v>100</v>
      </c>
      <c r="G22" s="51">
        <v>100</v>
      </c>
      <c r="H22" s="51">
        <v>100</v>
      </c>
      <c r="I22" s="51">
        <v>100</v>
      </c>
      <c r="J22" s="51">
        <v>0</v>
      </c>
      <c r="K22" s="51">
        <v>0</v>
      </c>
      <c r="L22" s="51">
        <v>100</v>
      </c>
      <c r="M22" s="51">
        <v>100</v>
      </c>
      <c r="N22" s="51">
        <v>98.3</v>
      </c>
      <c r="O22" s="51">
        <v>0</v>
      </c>
      <c r="P22" s="51">
        <v>100</v>
      </c>
      <c r="Q22" s="50">
        <v>0</v>
      </c>
      <c r="R22" s="50">
        <v>0</v>
      </c>
      <c r="S22" s="50">
        <v>0</v>
      </c>
      <c r="T22" s="50">
        <v>0</v>
      </c>
      <c r="U22" s="31">
        <v>77.72279756356068</v>
      </c>
      <c r="V22" s="31">
        <v>94.4388440860215</v>
      </c>
      <c r="W22" s="31">
        <v>83.44139529606277</v>
      </c>
      <c r="X22" s="31">
        <v>0</v>
      </c>
      <c r="Y22" s="31">
        <v>0</v>
      </c>
      <c r="Z22" s="52">
        <v>100</v>
      </c>
      <c r="AA22" s="52">
        <v>100</v>
      </c>
      <c r="AB22" s="51">
        <v>85.7</v>
      </c>
      <c r="AC22" s="51">
        <v>100</v>
      </c>
      <c r="AD22" s="51">
        <v>0</v>
      </c>
      <c r="AE22" s="51">
        <v>0</v>
      </c>
      <c r="AF22" s="51">
        <v>0</v>
      </c>
      <c r="AG22" s="52">
        <v>17.1</v>
      </c>
      <c r="AH22" s="52">
        <v>94.5</v>
      </c>
      <c r="AI22" s="52">
        <v>98.6</v>
      </c>
      <c r="AJ22" s="52">
        <v>100</v>
      </c>
      <c r="AK22" s="188">
        <v>100</v>
      </c>
      <c r="AL22" s="188">
        <v>100</v>
      </c>
      <c r="AM22" s="52">
        <v>94</v>
      </c>
      <c r="AN22" s="52">
        <v>28.38</v>
      </c>
      <c r="AO22" s="52">
        <v>28.29</v>
      </c>
      <c r="AP22" s="52">
        <v>100</v>
      </c>
      <c r="AQ22" s="51">
        <v>0</v>
      </c>
      <c r="AR22" s="51">
        <v>93.38</v>
      </c>
      <c r="AT22" s="65">
        <f>+AT76/$AT$81</f>
        <v>0.656686439659148</v>
      </c>
      <c r="AU22" s="30"/>
      <c r="AV22" s="65"/>
      <c r="AW22" s="65"/>
      <c r="AX22" s="51"/>
      <c r="AY22" s="51"/>
    </row>
    <row r="23" spans="1:51" ht="12.75">
      <c r="A23" s="33" t="s">
        <v>228</v>
      </c>
      <c r="B23" s="345"/>
      <c r="C23" s="51">
        <v>0.3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1.3</v>
      </c>
      <c r="O23" s="51">
        <v>41</v>
      </c>
      <c r="P23" s="51">
        <v>0</v>
      </c>
      <c r="Q23" s="50">
        <v>0</v>
      </c>
      <c r="R23" s="50">
        <v>0</v>
      </c>
      <c r="S23" s="50">
        <v>0</v>
      </c>
      <c r="T23" s="50">
        <v>0</v>
      </c>
      <c r="U23" s="52">
        <v>3.196230414628851</v>
      </c>
      <c r="V23" s="52">
        <v>5.561155913978495</v>
      </c>
      <c r="W23" s="52">
        <v>1.4320911610717586</v>
      </c>
      <c r="X23" s="31">
        <v>0</v>
      </c>
      <c r="Y23" s="31">
        <v>0</v>
      </c>
      <c r="Z23" s="51">
        <v>0</v>
      </c>
      <c r="AA23" s="52">
        <v>0</v>
      </c>
      <c r="AB23" s="51">
        <v>5.1</v>
      </c>
      <c r="AC23" s="51">
        <v>0</v>
      </c>
      <c r="AD23" s="51">
        <v>0</v>
      </c>
      <c r="AE23" s="51">
        <v>0</v>
      </c>
      <c r="AF23" s="51">
        <v>0</v>
      </c>
      <c r="AG23" s="52">
        <v>54.9</v>
      </c>
      <c r="AH23" s="52">
        <v>2.6</v>
      </c>
      <c r="AI23" s="52">
        <v>0</v>
      </c>
      <c r="AJ23" s="52">
        <v>0</v>
      </c>
      <c r="AK23" s="188">
        <v>0</v>
      </c>
      <c r="AL23" s="188">
        <v>0</v>
      </c>
      <c r="AM23" s="52">
        <v>1.2</v>
      </c>
      <c r="AN23" s="52">
        <v>49.67</v>
      </c>
      <c r="AO23" s="52">
        <v>55.88</v>
      </c>
      <c r="AP23" s="52">
        <v>0</v>
      </c>
      <c r="AQ23" s="51">
        <v>0</v>
      </c>
      <c r="AR23" s="51">
        <v>1.5</v>
      </c>
      <c r="AT23" s="65">
        <f>+AT77/$AT$81</f>
        <v>0.01973679329039208</v>
      </c>
      <c r="AU23" s="30"/>
      <c r="AV23" s="65"/>
      <c r="AW23" s="65"/>
      <c r="AX23" s="51"/>
      <c r="AY23" s="51"/>
    </row>
    <row r="24" spans="1:51" ht="12.75">
      <c r="A24" s="33" t="s">
        <v>229</v>
      </c>
      <c r="B24" s="345"/>
      <c r="C24" s="51">
        <v>1.3</v>
      </c>
      <c r="D24" s="51">
        <v>20.8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0.4</v>
      </c>
      <c r="O24" s="51">
        <v>0</v>
      </c>
      <c r="P24" s="51">
        <v>0</v>
      </c>
      <c r="Q24" s="50">
        <v>0</v>
      </c>
      <c r="R24" s="50">
        <v>0</v>
      </c>
      <c r="S24" s="50">
        <v>0</v>
      </c>
      <c r="T24" s="50">
        <v>0</v>
      </c>
      <c r="U24" s="52">
        <v>8.321947108324501</v>
      </c>
      <c r="V24" s="52">
        <v>0</v>
      </c>
      <c r="W24" s="52">
        <v>13.621480556951356</v>
      </c>
      <c r="X24" s="31">
        <v>0</v>
      </c>
      <c r="Y24" s="31">
        <v>0</v>
      </c>
      <c r="Z24" s="51">
        <v>0</v>
      </c>
      <c r="AA24" s="52">
        <v>0</v>
      </c>
      <c r="AB24" s="51">
        <v>9.2</v>
      </c>
      <c r="AC24" s="51">
        <v>0</v>
      </c>
      <c r="AD24" s="51">
        <v>0</v>
      </c>
      <c r="AE24" s="51">
        <v>0</v>
      </c>
      <c r="AF24" s="51">
        <v>0</v>
      </c>
      <c r="AG24" s="52">
        <v>14.7</v>
      </c>
      <c r="AH24" s="52">
        <v>2.9</v>
      </c>
      <c r="AI24" s="52">
        <v>1.4</v>
      </c>
      <c r="AJ24" s="52">
        <v>0</v>
      </c>
      <c r="AK24" s="188">
        <v>0</v>
      </c>
      <c r="AL24" s="188">
        <v>0</v>
      </c>
      <c r="AM24" s="52">
        <v>2.31</v>
      </c>
      <c r="AN24" s="52">
        <v>15.34</v>
      </c>
      <c r="AO24" s="52">
        <v>0</v>
      </c>
      <c r="AP24" s="52">
        <v>0</v>
      </c>
      <c r="AQ24" s="51">
        <v>0</v>
      </c>
      <c r="AR24" s="51">
        <v>0</v>
      </c>
      <c r="AT24" s="65">
        <f>+AT78/$AT$81</f>
        <v>0.047469367669968614</v>
      </c>
      <c r="AU24" s="30"/>
      <c r="AV24" s="65"/>
      <c r="AW24" s="65"/>
      <c r="AX24" s="51"/>
      <c r="AY24" s="51"/>
    </row>
    <row r="25" spans="1:51" ht="12.75">
      <c r="A25" s="33" t="s">
        <v>230</v>
      </c>
      <c r="B25" s="345"/>
      <c r="C25" s="51">
        <v>6.4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59</v>
      </c>
      <c r="P25" s="51">
        <v>0</v>
      </c>
      <c r="Q25" s="50">
        <v>0</v>
      </c>
      <c r="R25" s="50">
        <v>0</v>
      </c>
      <c r="S25" s="50">
        <v>0</v>
      </c>
      <c r="T25" s="50">
        <v>0</v>
      </c>
      <c r="U25" s="52">
        <v>5.633308219790323</v>
      </c>
      <c r="V25" s="52">
        <v>0</v>
      </c>
      <c r="W25" s="52">
        <v>1.5050329859141232</v>
      </c>
      <c r="X25" s="31">
        <v>0</v>
      </c>
      <c r="Y25" s="31">
        <v>0</v>
      </c>
      <c r="Z25" s="51">
        <v>0</v>
      </c>
      <c r="AA25" s="52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2">
        <v>13.3</v>
      </c>
      <c r="AH25" s="52">
        <v>0</v>
      </c>
      <c r="AI25" s="52">
        <v>0</v>
      </c>
      <c r="AJ25" s="52">
        <v>0</v>
      </c>
      <c r="AK25" s="188">
        <v>0</v>
      </c>
      <c r="AL25" s="188">
        <v>0</v>
      </c>
      <c r="AM25" s="52">
        <v>2.49</v>
      </c>
      <c r="AN25" s="52">
        <v>6.61</v>
      </c>
      <c r="AO25" s="52">
        <v>15.83</v>
      </c>
      <c r="AP25" s="52">
        <v>0</v>
      </c>
      <c r="AQ25" s="51">
        <v>0</v>
      </c>
      <c r="AR25" s="51">
        <v>0.57</v>
      </c>
      <c r="AT25" s="65">
        <f>+AT79/$AT$81</f>
        <v>0.019249255508175897</v>
      </c>
      <c r="AU25" s="30"/>
      <c r="AV25" s="65"/>
      <c r="AW25" s="65"/>
      <c r="AX25" s="51"/>
      <c r="AY25" s="51"/>
    </row>
    <row r="26" spans="1:51" ht="12.75">
      <c r="A26" s="33" t="s">
        <v>469</v>
      </c>
      <c r="B26" s="345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100</v>
      </c>
      <c r="R26" s="51">
        <v>100</v>
      </c>
      <c r="S26" s="51">
        <v>100</v>
      </c>
      <c r="T26" s="51">
        <v>100</v>
      </c>
      <c r="U26" s="52">
        <v>5.125716693695649</v>
      </c>
      <c r="V26" s="52">
        <v>0</v>
      </c>
      <c r="W26" s="52">
        <v>0</v>
      </c>
      <c r="X26" s="31">
        <v>0</v>
      </c>
      <c r="Y26" s="31">
        <v>0</v>
      </c>
      <c r="Z26" s="51">
        <v>0</v>
      </c>
      <c r="AA26" s="52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2">
        <v>0</v>
      </c>
      <c r="AH26" s="52">
        <v>0</v>
      </c>
      <c r="AI26" s="52">
        <v>0</v>
      </c>
      <c r="AJ26" s="52">
        <v>0</v>
      </c>
      <c r="AK26" s="188">
        <v>0</v>
      </c>
      <c r="AL26" s="188">
        <v>0</v>
      </c>
      <c r="AM26" s="52">
        <v>0</v>
      </c>
      <c r="AN26" s="52">
        <v>0</v>
      </c>
      <c r="AO26" s="52">
        <v>0</v>
      </c>
      <c r="AP26" s="52">
        <v>0</v>
      </c>
      <c r="AQ26" s="51">
        <v>0</v>
      </c>
      <c r="AR26" s="51">
        <v>4.55</v>
      </c>
      <c r="AT26" s="65">
        <f>+AT80/$AT$81</f>
        <v>0.2568581438723155</v>
      </c>
      <c r="AU26" s="30"/>
      <c r="AV26" s="65"/>
      <c r="AW26" s="65"/>
      <c r="AX26" s="51"/>
      <c r="AY26" s="51"/>
    </row>
    <row r="27" spans="1:51" s="118" customFormat="1" ht="12.75">
      <c r="A27" s="116" t="s">
        <v>231</v>
      </c>
      <c r="B27" s="346"/>
      <c r="C27" s="50">
        <f aca="true" t="shared" si="3" ref="C27:AR27">SUM(C22:C26)</f>
        <v>100</v>
      </c>
      <c r="D27" s="50">
        <f t="shared" si="3"/>
        <v>100</v>
      </c>
      <c r="E27" s="50">
        <f t="shared" si="3"/>
        <v>100</v>
      </c>
      <c r="F27" s="50">
        <f t="shared" si="3"/>
        <v>100</v>
      </c>
      <c r="G27" s="50">
        <f t="shared" si="3"/>
        <v>100</v>
      </c>
      <c r="H27" s="50">
        <f t="shared" si="3"/>
        <v>100</v>
      </c>
      <c r="I27" s="50">
        <f t="shared" si="3"/>
        <v>100</v>
      </c>
      <c r="J27" s="50">
        <f t="shared" si="3"/>
        <v>0</v>
      </c>
      <c r="K27" s="50">
        <f t="shared" si="3"/>
        <v>0</v>
      </c>
      <c r="L27" s="50">
        <f t="shared" si="3"/>
        <v>100</v>
      </c>
      <c r="M27" s="50">
        <f t="shared" si="3"/>
        <v>100</v>
      </c>
      <c r="N27" s="50">
        <f t="shared" si="3"/>
        <v>100</v>
      </c>
      <c r="O27" s="50">
        <f t="shared" si="3"/>
        <v>100</v>
      </c>
      <c r="P27" s="50">
        <f t="shared" si="3"/>
        <v>100</v>
      </c>
      <c r="Q27" s="50">
        <f t="shared" si="3"/>
        <v>100</v>
      </c>
      <c r="R27" s="50">
        <f t="shared" si="3"/>
        <v>100</v>
      </c>
      <c r="S27" s="50">
        <f t="shared" si="3"/>
        <v>100</v>
      </c>
      <c r="T27" s="50">
        <f t="shared" si="3"/>
        <v>100</v>
      </c>
      <c r="U27" s="50">
        <f t="shared" si="3"/>
        <v>100</v>
      </c>
      <c r="V27" s="50">
        <f t="shared" si="3"/>
        <v>100</v>
      </c>
      <c r="W27" s="50">
        <f t="shared" si="3"/>
        <v>100</v>
      </c>
      <c r="X27" s="50">
        <f t="shared" si="3"/>
        <v>0</v>
      </c>
      <c r="Y27" s="50">
        <f t="shared" si="3"/>
        <v>0</v>
      </c>
      <c r="Z27" s="50">
        <f t="shared" si="3"/>
        <v>100</v>
      </c>
      <c r="AA27" s="50">
        <f t="shared" si="3"/>
        <v>100</v>
      </c>
      <c r="AB27" s="50">
        <f t="shared" si="3"/>
        <v>100</v>
      </c>
      <c r="AC27" s="50">
        <f t="shared" si="3"/>
        <v>100</v>
      </c>
      <c r="AD27" s="50">
        <f t="shared" si="3"/>
        <v>0</v>
      </c>
      <c r="AE27" s="50">
        <f t="shared" si="3"/>
        <v>0</v>
      </c>
      <c r="AF27" s="50">
        <f t="shared" si="3"/>
        <v>0</v>
      </c>
      <c r="AG27" s="50">
        <f t="shared" si="3"/>
        <v>100</v>
      </c>
      <c r="AH27" s="50">
        <f t="shared" si="3"/>
        <v>100</v>
      </c>
      <c r="AI27" s="50">
        <f t="shared" si="3"/>
        <v>100</v>
      </c>
      <c r="AJ27" s="50">
        <f t="shared" si="3"/>
        <v>100</v>
      </c>
      <c r="AK27" s="50">
        <f t="shared" si="3"/>
        <v>100</v>
      </c>
      <c r="AL27" s="50">
        <f t="shared" si="3"/>
        <v>100</v>
      </c>
      <c r="AM27" s="50">
        <f t="shared" si="3"/>
        <v>100</v>
      </c>
      <c r="AN27" s="50">
        <f t="shared" si="3"/>
        <v>100</v>
      </c>
      <c r="AO27" s="50">
        <f t="shared" si="3"/>
        <v>100</v>
      </c>
      <c r="AP27" s="50">
        <f t="shared" si="3"/>
        <v>100</v>
      </c>
      <c r="AQ27" s="50">
        <f t="shared" si="3"/>
        <v>0</v>
      </c>
      <c r="AR27" s="50">
        <f t="shared" si="3"/>
        <v>99.99999999999999</v>
      </c>
      <c r="AT27" s="115">
        <f>SUM(AT22:AT26)</f>
        <v>1</v>
      </c>
      <c r="AU27" s="116"/>
      <c r="AV27" s="116"/>
      <c r="AW27" s="116"/>
      <c r="AX27" s="117"/>
      <c r="AY27" s="119"/>
    </row>
    <row r="28" spans="1:51" ht="21.75" customHeight="1">
      <c r="A28" s="33" t="s">
        <v>472</v>
      </c>
      <c r="B28" s="338">
        <v>8</v>
      </c>
      <c r="C28" s="53">
        <f>+'5.1. Séreignard.'!B21/'5.1. Séreignard.'!B14</f>
        <v>0.03361344537815126</v>
      </c>
      <c r="D28" s="53">
        <f>+'5.1. Séreignard.'!C21/'5.1. Séreignard.'!C14</f>
        <v>0.012970528953532713</v>
      </c>
      <c r="E28" s="53">
        <f>+'5.1. Séreignard.'!D21/'5.1. Séreignard.'!D14</f>
        <v>0.038676700783651485</v>
      </c>
      <c r="F28" s="53">
        <f>+'5.1. Séreignard.'!E21/'5.1. Séreignard.'!E14</f>
        <v>0.02554401112724122</v>
      </c>
      <c r="G28" s="53">
        <f>+'5.1. Séreignard.'!F21/'5.1. Séreignard.'!F14</f>
        <v>0.034241874601696164</v>
      </c>
      <c r="H28" s="53">
        <f>+'5.1. Séreignard.'!G21/'5.1. Séreignard.'!G14</f>
        <v>0.009755795726425213</v>
      </c>
      <c r="I28" s="53">
        <f>+'5.1. Séreignard.'!H21/'5.1. Séreignard.'!H14</f>
        <v>0.016436763384599123</v>
      </c>
      <c r="J28" s="53">
        <f>+'5.1. Séreignard.'!I21/'5.1. Séreignard.'!I14</f>
        <v>0.0033980582524271844</v>
      </c>
      <c r="K28" s="53">
        <f>+'5.1. Séreignard.'!J21/'5.1. Séreignard.'!J14</f>
        <v>0</v>
      </c>
      <c r="L28" s="53">
        <f>+'5.1. Séreignard.'!K21/'5.1. Séreignard.'!K14</f>
        <v>0.011694832231202547</v>
      </c>
      <c r="M28" s="53">
        <f>+'5.1. Séreignard.'!L21/'5.1. Séreignard.'!L14</f>
        <v>0.021776508880944956</v>
      </c>
      <c r="N28" s="53">
        <f>+'5.1. Séreignard.'!M21/'5.1. Séreignard.'!M14</f>
        <v>0.13258675159890068</v>
      </c>
      <c r="O28" s="53">
        <f>+'5.1. Séreignard.'!N21/'5.1. Séreignard.'!N14</f>
        <v>0.008349972771827918</v>
      </c>
      <c r="P28" s="53">
        <f>+'5.1. Séreignard.'!O21/'5.1. Séreignard.'!O14</f>
        <v>0.01655491733461463</v>
      </c>
      <c r="Q28" s="53">
        <f>+'5.1. Séreignard.'!P21/'5.1. Séreignard.'!P14</f>
        <v>0.006026126782686777</v>
      </c>
      <c r="R28" s="53">
        <f>+'5.1. Séreignard.'!Q21/'5.1. Séreignard.'!Q14</f>
        <v>0.15364706038504675</v>
      </c>
      <c r="S28" s="53">
        <f>+'5.1. Séreignard.'!R21/'5.1. Séreignard.'!R14</f>
        <v>0.10409059725791753</v>
      </c>
      <c r="T28" s="53">
        <f>+'5.1. Séreignard.'!S21/'5.1. Séreignard.'!S14</f>
        <v>0.05374184144158546</v>
      </c>
      <c r="U28" s="53">
        <f>+'5.1. Séreignard.'!T21/'5.1. Séreignard.'!T14</f>
        <v>0.3487091114732783</v>
      </c>
      <c r="V28" s="53">
        <f>+'5.1. Séreignard.'!U21/'5.1. Séreignard.'!U14</f>
        <v>0.05828208844150249</v>
      </c>
      <c r="W28" s="53">
        <f>+'5.1. Séreignard.'!V21/'5.1. Séreignard.'!V14</f>
        <v>0.0973279883634895</v>
      </c>
      <c r="X28" s="53">
        <f>+'5.1. Séreignard.'!W21/'5.1. Séreignard.'!W14</f>
        <v>0</v>
      </c>
      <c r="Y28" s="53">
        <f>+'5.1. Séreignard.'!X21/'5.1. Séreignard.'!X14</f>
        <v>0</v>
      </c>
      <c r="Z28" s="53">
        <f>+'5.1. Séreignard.'!Y21/'5.1. Séreignard.'!Y14</f>
        <v>0.19279411166687</v>
      </c>
      <c r="AA28" s="53">
        <f>+'5.1. Séreignard.'!Z21/'5.1. Séreignard.'!Z14</f>
        <v>0</v>
      </c>
      <c r="AB28" s="53">
        <f>+'5.1. Séreignard.'!AA21/'5.1. Séreignard.'!AA14</f>
        <v>0.04557511454063178</v>
      </c>
      <c r="AC28" s="53">
        <f>+'5.1. Séreignard.'!AB21/'5.1. Séreignard.'!AB14</f>
        <v>0.013049083829294022</v>
      </c>
      <c r="AD28" s="53">
        <f>+'5.1. Séreignard.'!AC21/'5.1. Séreignard.'!AC14</f>
        <v>0</v>
      </c>
      <c r="AE28" s="53">
        <f>+'5.1. Séreignard.'!AD21/'5.1. Séreignard.'!AD14</f>
        <v>0</v>
      </c>
      <c r="AF28" s="53">
        <f>+'5.1. Séreignard.'!AE21/'5.1. Séreignard.'!AE14</f>
        <v>0</v>
      </c>
      <c r="AG28" s="77" t="s">
        <v>506</v>
      </c>
      <c r="AH28" s="54">
        <f>+'5.1. Séreignard.'!AG21/'5.1. Séreignard.'!AG14</f>
        <v>0.032568804007243914</v>
      </c>
      <c r="AI28" s="54">
        <f>+'5.1. Séreignard.'!AH21/'5.1. Séreignard.'!AH14</f>
        <v>0.3100576262549138</v>
      </c>
      <c r="AJ28" s="53">
        <f>+'5.1. Séreignard.'!AI21/'5.1. Séreignard.'!AI14</f>
        <v>0.11803509670808249</v>
      </c>
      <c r="AK28" s="53">
        <f>+'5.1. Séreignard.'!AJ21/'5.1. Séreignard.'!AJ14</f>
        <v>0.025085165685970887</v>
      </c>
      <c r="AL28" s="53">
        <f>+'5.1. Séreignard.'!AK21/'5.1. Séreignard.'!AK14</f>
        <v>0.08249201829320908</v>
      </c>
      <c r="AM28" s="53">
        <f>+'5.1. Séreignard.'!AL21/'5.1. Séreignard.'!AL14</f>
        <v>1.0893816136744616</v>
      </c>
      <c r="AN28" s="53">
        <f>+'5.1. Séreignard.'!AM21/'5.1. Séreignard.'!AM14</f>
        <v>0.00921611308442734</v>
      </c>
      <c r="AO28" s="53">
        <f>+'5.1. Séreignard.'!AN21/'5.1. Séreignard.'!AN14</f>
        <v>0.0022161596052915375</v>
      </c>
      <c r="AP28" s="53">
        <f>+'5.1. Séreignard.'!AO21/'5.1. Séreignard.'!AO14</f>
        <v>0.046469663908468836</v>
      </c>
      <c r="AQ28" s="53">
        <f>+'5.1. Séreignard.'!AP21/'5.1. Séreignard.'!AP14</f>
        <v>0</v>
      </c>
      <c r="AR28" s="53">
        <f>+'5.1. Séreignard.'!AQ21/'5.1. Séreignard.'!AQ14</f>
        <v>0.6857956434985035</v>
      </c>
      <c r="AS28" s="53"/>
      <c r="AT28" s="53">
        <f>+'5.1. Séreignard.'!AS21/'5.1. Séreignard.'!AS14</f>
        <v>0.08025020166378038</v>
      </c>
      <c r="AU28" s="53"/>
      <c r="AV28" s="53"/>
      <c r="AW28" s="53"/>
      <c r="AX28" s="51"/>
      <c r="AY28" s="51"/>
    </row>
    <row r="29" spans="1:51" ht="12.75">
      <c r="A29" s="33"/>
      <c r="B29" s="345"/>
      <c r="C29" s="83"/>
      <c r="D29" s="53"/>
      <c r="E29" s="53"/>
      <c r="F29" s="53"/>
      <c r="G29" s="53"/>
      <c r="H29" s="54"/>
      <c r="I29" s="53"/>
      <c r="J29" s="53"/>
      <c r="K29" s="53"/>
      <c r="L29" s="53"/>
      <c r="M29" s="53"/>
      <c r="N29" s="53"/>
      <c r="O29" s="53"/>
      <c r="Q29" s="49"/>
      <c r="R29" s="49"/>
      <c r="S29" s="49"/>
      <c r="T29" s="49"/>
      <c r="U29" s="55"/>
      <c r="V29" s="55"/>
      <c r="W29" s="55"/>
      <c r="X29" s="53"/>
      <c r="Y29" s="53"/>
      <c r="AD29" s="53"/>
      <c r="AE29" s="53"/>
      <c r="AF29" s="53"/>
      <c r="AG29" s="53"/>
      <c r="AH29" s="53"/>
      <c r="AI29" s="53"/>
      <c r="AJ29" s="54"/>
      <c r="AK29" s="54"/>
      <c r="AL29" s="54"/>
      <c r="AQ29" s="53"/>
      <c r="AR29" s="53"/>
      <c r="AT29" s="53"/>
      <c r="AU29" s="53"/>
      <c r="AV29" s="16"/>
      <c r="AW29" s="16"/>
      <c r="AX29" s="51"/>
      <c r="AY29" s="51"/>
    </row>
    <row r="30" spans="1:51" ht="12.75">
      <c r="A30" s="104"/>
      <c r="B30" s="345"/>
      <c r="C30" s="347"/>
      <c r="D30" s="54"/>
      <c r="E30" s="54"/>
      <c r="F30" s="49"/>
      <c r="G30" s="49"/>
      <c r="H30" s="47"/>
      <c r="I30" s="49"/>
      <c r="J30" s="49"/>
      <c r="K30" s="49"/>
      <c r="L30" s="49"/>
      <c r="M30" s="49"/>
      <c r="N30" s="49"/>
      <c r="O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B30" s="49"/>
      <c r="AD30" s="49"/>
      <c r="AE30" s="49"/>
      <c r="AF30" s="49"/>
      <c r="AG30" s="49"/>
      <c r="AH30" s="49"/>
      <c r="AI30" s="49"/>
      <c r="AJ30" s="31"/>
      <c r="AK30" s="31"/>
      <c r="AL30" s="31"/>
      <c r="AM30" s="56"/>
      <c r="AN30" s="56"/>
      <c r="AO30" s="56"/>
      <c r="AP30" s="56"/>
      <c r="AQ30" s="49"/>
      <c r="AR30" s="50"/>
      <c r="AT30" s="50"/>
      <c r="AU30" s="50"/>
      <c r="AV30" s="16"/>
      <c r="AW30" s="16"/>
      <c r="AX30" s="50"/>
      <c r="AY30" s="50"/>
    </row>
    <row r="31" spans="1:169" s="124" customFormat="1" ht="12.75">
      <c r="A31" s="32" t="s">
        <v>232</v>
      </c>
      <c r="B31" s="162"/>
      <c r="C31" s="190"/>
      <c r="D31" s="384" t="s">
        <v>542</v>
      </c>
      <c r="E31" s="384"/>
      <c r="F31" s="120"/>
      <c r="G31" s="382" t="s">
        <v>544</v>
      </c>
      <c r="H31" s="382"/>
      <c r="I31" s="327"/>
      <c r="J31" s="384" t="s">
        <v>542</v>
      </c>
      <c r="K31" s="384"/>
      <c r="L31" s="382" t="s">
        <v>519</v>
      </c>
      <c r="M31" s="382"/>
      <c r="N31" s="382" t="s">
        <v>519</v>
      </c>
      <c r="O31" s="382"/>
      <c r="P31" s="64" t="s">
        <v>545</v>
      </c>
      <c r="Q31" s="239"/>
      <c r="R31" s="239"/>
      <c r="S31" s="239"/>
      <c r="T31" s="239" t="s">
        <v>547</v>
      </c>
      <c r="U31" s="239"/>
      <c r="V31" s="239" t="s">
        <v>552</v>
      </c>
      <c r="W31" s="239" t="s">
        <v>552</v>
      </c>
      <c r="X31" s="120"/>
      <c r="Y31" s="120"/>
      <c r="Z31" s="120"/>
      <c r="AA31" s="64" t="s">
        <v>543</v>
      </c>
      <c r="AB31" s="64"/>
      <c r="AC31" s="64"/>
      <c r="AD31" s="120"/>
      <c r="AE31" s="120"/>
      <c r="AF31" s="120" t="s">
        <v>539</v>
      </c>
      <c r="AG31" s="382" t="s">
        <v>519</v>
      </c>
      <c r="AH31" s="382"/>
      <c r="AI31" s="382"/>
      <c r="AJ31" s="240"/>
      <c r="AK31" s="384" t="s">
        <v>542</v>
      </c>
      <c r="AL31" s="384"/>
      <c r="AM31" s="382" t="s">
        <v>518</v>
      </c>
      <c r="AN31" s="382"/>
      <c r="AO31" s="382"/>
      <c r="AP31" s="382"/>
      <c r="AQ31" s="123" t="s">
        <v>531</v>
      </c>
      <c r="AR31" s="121"/>
      <c r="AT31" s="120"/>
      <c r="AU31" s="120"/>
      <c r="AV31" s="125"/>
      <c r="AW31" s="125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</row>
    <row r="32" spans="1:169" s="124" customFormat="1" ht="12.75" customHeight="1">
      <c r="A32" s="200"/>
      <c r="B32" s="162"/>
      <c r="C32" s="382" t="s">
        <v>519</v>
      </c>
      <c r="D32" s="382"/>
      <c r="E32" s="382"/>
      <c r="F32" s="120"/>
      <c r="G32" s="120"/>
      <c r="H32" s="121"/>
      <c r="I32" s="382" t="s">
        <v>519</v>
      </c>
      <c r="J32" s="382"/>
      <c r="K32" s="382"/>
      <c r="L32" s="120"/>
      <c r="M32" s="120"/>
      <c r="N32" s="120"/>
      <c r="O32" s="168"/>
      <c r="P32" s="121"/>
      <c r="Q32" s="386" t="s">
        <v>519</v>
      </c>
      <c r="R32" s="386"/>
      <c r="S32" s="386"/>
      <c r="T32" s="386"/>
      <c r="W32" s="120"/>
      <c r="X32" s="120"/>
      <c r="Y32" s="120"/>
      <c r="Z32" s="120"/>
      <c r="AA32" s="120" t="s">
        <v>519</v>
      </c>
      <c r="AB32" s="120"/>
      <c r="AC32" s="120"/>
      <c r="AD32" s="120"/>
      <c r="AE32" s="120"/>
      <c r="AF32" s="120" t="s">
        <v>540</v>
      </c>
      <c r="AG32" s="120"/>
      <c r="AH32" s="120"/>
      <c r="AI32" s="120"/>
      <c r="AJ32" s="121"/>
      <c r="AK32" s="121"/>
      <c r="AL32" s="121"/>
      <c r="AM32" s="123"/>
      <c r="AN32" s="123"/>
      <c r="AO32" s="123"/>
      <c r="AP32" s="123"/>
      <c r="AQ32" s="123" t="s">
        <v>529</v>
      </c>
      <c r="AR32" s="121"/>
      <c r="AT32" s="120"/>
      <c r="AU32" s="120"/>
      <c r="AV32" s="125"/>
      <c r="AW32" s="125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</row>
    <row r="33" spans="1:169" s="99" customFormat="1" ht="12.75">
      <c r="A33" s="32"/>
      <c r="B33" s="345"/>
      <c r="D33" s="385"/>
      <c r="E33" s="385"/>
      <c r="F33" s="58"/>
      <c r="G33" s="58"/>
      <c r="H33" s="57"/>
      <c r="I33" s="58"/>
      <c r="J33" s="58"/>
      <c r="K33" s="58"/>
      <c r="L33" s="58"/>
      <c r="M33" s="58"/>
      <c r="N33" s="58"/>
      <c r="O33" s="58"/>
      <c r="P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7"/>
      <c r="AK33" s="57"/>
      <c r="AL33" s="57"/>
      <c r="AM33" s="51"/>
      <c r="AN33" s="51"/>
      <c r="AO33" s="51"/>
      <c r="AP33" s="51"/>
      <c r="AQ33" s="57"/>
      <c r="AR33" s="57"/>
      <c r="AT33" s="58"/>
      <c r="AU33" s="58"/>
      <c r="AV33" s="59"/>
      <c r="AW33" s="59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</row>
    <row r="34" spans="1:169" s="99" customFormat="1" ht="15" customHeight="1">
      <c r="A34" s="43"/>
      <c r="B34" s="34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30"/>
      <c r="AT34" s="308"/>
      <c r="AU34" s="58"/>
      <c r="AV34" s="59"/>
      <c r="AW34" s="59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</row>
    <row r="35" spans="1:169" s="304" customFormat="1" ht="15" customHeight="1">
      <c r="A35" s="303"/>
      <c r="B35" s="348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9"/>
      <c r="AU35" s="305"/>
      <c r="AV35" s="306"/>
      <c r="AW35" s="306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305"/>
      <c r="DR35" s="305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5"/>
      <c r="EF35" s="305"/>
      <c r="EG35" s="305"/>
      <c r="EH35" s="305"/>
      <c r="EI35" s="305"/>
      <c r="EJ35" s="305"/>
      <c r="EK35" s="305"/>
      <c r="EL35" s="305"/>
      <c r="EM35" s="305"/>
      <c r="EN35" s="305"/>
      <c r="EO35" s="305"/>
      <c r="EP35" s="305"/>
      <c r="EQ35" s="305"/>
      <c r="ER35" s="305"/>
      <c r="ES35" s="305"/>
      <c r="ET35" s="305"/>
      <c r="EU35" s="305"/>
      <c r="EV35" s="305"/>
      <c r="EW35" s="305"/>
      <c r="EX35" s="305"/>
      <c r="EY35" s="305"/>
      <c r="EZ35" s="305"/>
      <c r="FA35" s="305"/>
      <c r="FB35" s="305"/>
      <c r="FC35" s="305"/>
      <c r="FD35" s="305"/>
      <c r="FE35" s="305"/>
      <c r="FF35" s="305"/>
      <c r="FG35" s="305"/>
      <c r="FH35" s="305"/>
      <c r="FI35" s="305"/>
      <c r="FJ35" s="305"/>
      <c r="FK35" s="305"/>
      <c r="FL35" s="305"/>
      <c r="FM35" s="305"/>
    </row>
    <row r="36" spans="1:169" s="156" customFormat="1" ht="12">
      <c r="A36" s="331"/>
      <c r="B36" s="358"/>
      <c r="C36" s="229" t="s">
        <v>475</v>
      </c>
      <c r="D36" s="353"/>
      <c r="E36" s="353"/>
      <c r="F36" s="353"/>
      <c r="G36" s="353"/>
      <c r="H36" s="355"/>
      <c r="I36" s="229" t="s">
        <v>475</v>
      </c>
      <c r="J36" s="353"/>
      <c r="K36" s="353"/>
      <c r="L36" s="353"/>
      <c r="M36" s="353"/>
      <c r="N36" s="353"/>
      <c r="O36" s="353"/>
      <c r="P36" s="229" t="s">
        <v>475</v>
      </c>
      <c r="Q36" s="353"/>
      <c r="R36" s="353"/>
      <c r="S36" s="353"/>
      <c r="T36" s="353"/>
      <c r="U36" s="229" t="s">
        <v>475</v>
      </c>
      <c r="V36" s="353"/>
      <c r="W36" s="353"/>
      <c r="X36" s="353"/>
      <c r="Y36" s="353"/>
      <c r="Z36" s="353"/>
      <c r="AA36" s="229" t="s">
        <v>475</v>
      </c>
      <c r="AB36" s="353"/>
      <c r="AC36" s="353"/>
      <c r="AD36" s="229"/>
      <c r="AE36" s="353"/>
      <c r="AF36" s="353"/>
      <c r="AG36" s="229" t="s">
        <v>475</v>
      </c>
      <c r="AH36" s="353"/>
      <c r="AI36" s="354"/>
      <c r="AK36" s="355"/>
      <c r="AL36" s="355"/>
      <c r="AM36" s="229" t="s">
        <v>475</v>
      </c>
      <c r="AN36" s="359"/>
      <c r="AO36" s="359"/>
      <c r="AP36" s="359"/>
      <c r="AQ36" s="229" t="s">
        <v>475</v>
      </c>
      <c r="AR36" s="355"/>
      <c r="AT36" s="354"/>
      <c r="AU36" s="353"/>
      <c r="AV36" s="357"/>
      <c r="AW36" s="357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  <c r="DN36" s="353"/>
      <c r="DO36" s="353"/>
      <c r="DP36" s="353"/>
      <c r="DQ36" s="353"/>
      <c r="DR36" s="353"/>
      <c r="DS36" s="353"/>
      <c r="DT36" s="353"/>
      <c r="DU36" s="353"/>
      <c r="DV36" s="353"/>
      <c r="DW36" s="353"/>
      <c r="DX36" s="353"/>
      <c r="DY36" s="353"/>
      <c r="DZ36" s="353"/>
      <c r="EA36" s="353"/>
      <c r="EB36" s="353"/>
      <c r="EC36" s="353"/>
      <c r="ED36" s="353"/>
      <c r="EE36" s="353"/>
      <c r="EF36" s="353"/>
      <c r="EG36" s="353"/>
      <c r="EH36" s="353"/>
      <c r="EI36" s="353"/>
      <c r="EJ36" s="353"/>
      <c r="EK36" s="353"/>
      <c r="EL36" s="353"/>
      <c r="EM36" s="353"/>
      <c r="EN36" s="353"/>
      <c r="EO36" s="353"/>
      <c r="EP36" s="353"/>
      <c r="EQ36" s="353"/>
      <c r="ER36" s="353"/>
      <c r="ES36" s="353"/>
      <c r="ET36" s="353"/>
      <c r="EU36" s="353"/>
      <c r="EV36" s="353"/>
      <c r="EW36" s="353"/>
      <c r="EX36" s="353"/>
      <c r="EY36" s="353"/>
      <c r="EZ36" s="353"/>
      <c r="FA36" s="353"/>
      <c r="FB36" s="353"/>
      <c r="FC36" s="353"/>
      <c r="FD36" s="353"/>
      <c r="FE36" s="353"/>
      <c r="FF36" s="353"/>
      <c r="FG36" s="353"/>
      <c r="FH36" s="353"/>
      <c r="FI36" s="353"/>
      <c r="FJ36" s="353"/>
      <c r="FK36" s="353"/>
      <c r="FL36" s="353"/>
      <c r="FM36" s="353"/>
    </row>
    <row r="37" spans="1:169" s="156" customFormat="1" ht="12">
      <c r="A37" s="331"/>
      <c r="B37" s="358"/>
      <c r="C37" s="206" t="s">
        <v>571</v>
      </c>
      <c r="D37" s="353"/>
      <c r="E37" s="353"/>
      <c r="F37" s="353"/>
      <c r="G37" s="353"/>
      <c r="H37" s="355"/>
      <c r="I37" s="206" t="s">
        <v>571</v>
      </c>
      <c r="J37" s="353"/>
      <c r="K37" s="353"/>
      <c r="L37" s="353"/>
      <c r="M37" s="353"/>
      <c r="N37" s="353"/>
      <c r="O37" s="353"/>
      <c r="P37" s="206" t="s">
        <v>571</v>
      </c>
      <c r="Q37" s="353"/>
      <c r="R37" s="353"/>
      <c r="S37" s="353"/>
      <c r="T37" s="353"/>
      <c r="U37" s="206" t="s">
        <v>571</v>
      </c>
      <c r="V37" s="353"/>
      <c r="W37" s="353"/>
      <c r="X37" s="353"/>
      <c r="Y37" s="353"/>
      <c r="Z37" s="353"/>
      <c r="AA37" s="206" t="s">
        <v>571</v>
      </c>
      <c r="AB37" s="353"/>
      <c r="AC37" s="353"/>
      <c r="AD37" s="206"/>
      <c r="AE37" s="353"/>
      <c r="AF37" s="353"/>
      <c r="AG37" s="206" t="s">
        <v>571</v>
      </c>
      <c r="AH37" s="353"/>
      <c r="AI37" s="357"/>
      <c r="AK37" s="355"/>
      <c r="AL37" s="355"/>
      <c r="AM37" s="206" t="s">
        <v>571</v>
      </c>
      <c r="AN37" s="359"/>
      <c r="AO37" s="359"/>
      <c r="AP37" s="359"/>
      <c r="AQ37" s="206" t="s">
        <v>571</v>
      </c>
      <c r="AR37" s="355"/>
      <c r="AT37" s="357"/>
      <c r="AU37" s="353"/>
      <c r="AV37" s="357"/>
      <c r="AW37" s="357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3"/>
      <c r="DK37" s="353"/>
      <c r="DL37" s="353"/>
      <c r="DM37" s="353"/>
      <c r="DN37" s="353"/>
      <c r="DO37" s="353"/>
      <c r="DP37" s="353"/>
      <c r="DQ37" s="353"/>
      <c r="DR37" s="353"/>
      <c r="DS37" s="353"/>
      <c r="DT37" s="353"/>
      <c r="DU37" s="353"/>
      <c r="DV37" s="353"/>
      <c r="DW37" s="353"/>
      <c r="DX37" s="353"/>
      <c r="DY37" s="353"/>
      <c r="DZ37" s="353"/>
      <c r="EA37" s="353"/>
      <c r="EB37" s="353"/>
      <c r="EC37" s="353"/>
      <c r="ED37" s="353"/>
      <c r="EE37" s="353"/>
      <c r="EF37" s="353"/>
      <c r="EG37" s="353"/>
      <c r="EH37" s="353"/>
      <c r="EI37" s="353"/>
      <c r="EJ37" s="353"/>
      <c r="EK37" s="353"/>
      <c r="EL37" s="353"/>
      <c r="EM37" s="353"/>
      <c r="EN37" s="353"/>
      <c r="EO37" s="353"/>
      <c r="EP37" s="353"/>
      <c r="EQ37" s="353"/>
      <c r="ER37" s="353"/>
      <c r="ES37" s="353"/>
      <c r="ET37" s="353"/>
      <c r="EU37" s="353"/>
      <c r="EV37" s="353"/>
      <c r="EW37" s="353"/>
      <c r="EX37" s="353"/>
      <c r="EY37" s="353"/>
      <c r="EZ37" s="353"/>
      <c r="FA37" s="353"/>
      <c r="FB37" s="353"/>
      <c r="FC37" s="353"/>
      <c r="FD37" s="353"/>
      <c r="FE37" s="353"/>
      <c r="FF37" s="353"/>
      <c r="FG37" s="353"/>
      <c r="FH37" s="353"/>
      <c r="FI37" s="353"/>
      <c r="FJ37" s="353"/>
      <c r="FK37" s="353"/>
      <c r="FL37" s="353"/>
      <c r="FM37" s="353"/>
    </row>
    <row r="38" spans="1:169" s="156" customFormat="1" ht="12">
      <c r="A38" s="331"/>
      <c r="B38" s="358"/>
      <c r="C38" s="206" t="s">
        <v>572</v>
      </c>
      <c r="D38" s="353"/>
      <c r="E38" s="353"/>
      <c r="F38" s="353"/>
      <c r="G38" s="353"/>
      <c r="H38" s="355"/>
      <c r="I38" s="206" t="s">
        <v>572</v>
      </c>
      <c r="J38" s="353"/>
      <c r="K38" s="353"/>
      <c r="L38" s="353"/>
      <c r="M38" s="353"/>
      <c r="N38" s="353"/>
      <c r="O38" s="353"/>
      <c r="P38" s="206" t="s">
        <v>572</v>
      </c>
      <c r="Q38" s="353"/>
      <c r="R38" s="353"/>
      <c r="S38" s="353"/>
      <c r="T38" s="353"/>
      <c r="U38" s="206" t="s">
        <v>572</v>
      </c>
      <c r="V38" s="353"/>
      <c r="W38" s="353"/>
      <c r="X38" s="353"/>
      <c r="Y38" s="353"/>
      <c r="Z38" s="353"/>
      <c r="AA38" s="206" t="s">
        <v>572</v>
      </c>
      <c r="AB38" s="353"/>
      <c r="AC38" s="353"/>
      <c r="AD38" s="206"/>
      <c r="AE38" s="353"/>
      <c r="AF38" s="353"/>
      <c r="AG38" s="206" t="s">
        <v>572</v>
      </c>
      <c r="AH38" s="353"/>
      <c r="AI38" s="357"/>
      <c r="AK38" s="355"/>
      <c r="AL38" s="355"/>
      <c r="AM38" s="206" t="s">
        <v>572</v>
      </c>
      <c r="AN38" s="359"/>
      <c r="AO38" s="359"/>
      <c r="AP38" s="359"/>
      <c r="AQ38" s="206" t="s">
        <v>572</v>
      </c>
      <c r="AR38" s="355"/>
      <c r="AT38" s="357"/>
      <c r="AU38" s="353"/>
      <c r="AV38" s="357"/>
      <c r="AW38" s="357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  <c r="EG38" s="353"/>
      <c r="EH38" s="353"/>
      <c r="EI38" s="353"/>
      <c r="EJ38" s="353"/>
      <c r="EK38" s="353"/>
      <c r="EL38" s="353"/>
      <c r="EM38" s="353"/>
      <c r="EN38" s="353"/>
      <c r="EO38" s="353"/>
      <c r="EP38" s="353"/>
      <c r="EQ38" s="353"/>
      <c r="ER38" s="353"/>
      <c r="ES38" s="353"/>
      <c r="ET38" s="353"/>
      <c r="EU38" s="353"/>
      <c r="EV38" s="353"/>
      <c r="EW38" s="353"/>
      <c r="EX38" s="353"/>
      <c r="EY38" s="353"/>
      <c r="EZ38" s="353"/>
      <c r="FA38" s="353"/>
      <c r="FB38" s="353"/>
      <c r="FC38" s="353"/>
      <c r="FD38" s="353"/>
      <c r="FE38" s="353"/>
      <c r="FF38" s="353"/>
      <c r="FG38" s="353"/>
      <c r="FH38" s="353"/>
      <c r="FI38" s="353"/>
      <c r="FJ38" s="353"/>
      <c r="FK38" s="353"/>
      <c r="FL38" s="353"/>
      <c r="FM38" s="353"/>
    </row>
    <row r="39" spans="1:169" s="156" customFormat="1" ht="12">
      <c r="A39" s="331"/>
      <c r="B39" s="358"/>
      <c r="C39" s="206" t="s">
        <v>476</v>
      </c>
      <c r="D39" s="353"/>
      <c r="E39" s="353"/>
      <c r="F39" s="353"/>
      <c r="G39" s="353"/>
      <c r="H39" s="355"/>
      <c r="I39" s="206" t="s">
        <v>476</v>
      </c>
      <c r="J39" s="353"/>
      <c r="K39" s="353"/>
      <c r="L39" s="353"/>
      <c r="M39" s="353"/>
      <c r="N39" s="353"/>
      <c r="O39" s="353"/>
      <c r="P39" s="206" t="s">
        <v>476</v>
      </c>
      <c r="Q39" s="353"/>
      <c r="R39" s="353"/>
      <c r="S39" s="353"/>
      <c r="T39" s="353"/>
      <c r="U39" s="206" t="s">
        <v>476</v>
      </c>
      <c r="V39" s="353"/>
      <c r="W39" s="353"/>
      <c r="X39" s="353"/>
      <c r="Y39" s="353"/>
      <c r="Z39" s="353"/>
      <c r="AA39" s="206" t="s">
        <v>476</v>
      </c>
      <c r="AB39" s="353"/>
      <c r="AC39" s="353"/>
      <c r="AD39" s="206"/>
      <c r="AE39" s="353"/>
      <c r="AF39" s="353"/>
      <c r="AG39" s="206" t="s">
        <v>476</v>
      </c>
      <c r="AH39" s="353"/>
      <c r="AI39" s="357"/>
      <c r="AK39" s="355"/>
      <c r="AL39" s="355"/>
      <c r="AM39" s="206" t="s">
        <v>476</v>
      </c>
      <c r="AN39" s="359"/>
      <c r="AO39" s="359"/>
      <c r="AP39" s="359"/>
      <c r="AQ39" s="206" t="s">
        <v>476</v>
      </c>
      <c r="AR39" s="355"/>
      <c r="AT39" s="357"/>
      <c r="AU39" s="353"/>
      <c r="AV39" s="357"/>
      <c r="AW39" s="357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3"/>
      <c r="DQ39" s="353"/>
      <c r="DR39" s="353"/>
      <c r="DS39" s="353"/>
      <c r="DT39" s="353"/>
      <c r="DU39" s="353"/>
      <c r="DV39" s="353"/>
      <c r="DW39" s="353"/>
      <c r="DX39" s="353"/>
      <c r="DY39" s="353"/>
      <c r="DZ39" s="353"/>
      <c r="EA39" s="353"/>
      <c r="EB39" s="353"/>
      <c r="EC39" s="353"/>
      <c r="ED39" s="353"/>
      <c r="EE39" s="353"/>
      <c r="EF39" s="353"/>
      <c r="EG39" s="353"/>
      <c r="EH39" s="353"/>
      <c r="EI39" s="353"/>
      <c r="EJ39" s="353"/>
      <c r="EK39" s="353"/>
      <c r="EL39" s="353"/>
      <c r="EM39" s="353"/>
      <c r="EN39" s="353"/>
      <c r="EO39" s="353"/>
      <c r="EP39" s="353"/>
      <c r="EQ39" s="353"/>
      <c r="ER39" s="353"/>
      <c r="ES39" s="353"/>
      <c r="ET39" s="353"/>
      <c r="EU39" s="353"/>
      <c r="EV39" s="353"/>
      <c r="EW39" s="353"/>
      <c r="EX39" s="353"/>
      <c r="EY39" s="353"/>
      <c r="EZ39" s="353"/>
      <c r="FA39" s="353"/>
      <c r="FB39" s="353"/>
      <c r="FC39" s="353"/>
      <c r="FD39" s="353"/>
      <c r="FE39" s="353"/>
      <c r="FF39" s="353"/>
      <c r="FG39" s="353"/>
      <c r="FH39" s="353"/>
      <c r="FI39" s="353"/>
      <c r="FJ39" s="353"/>
      <c r="FK39" s="353"/>
      <c r="FL39" s="353"/>
      <c r="FM39" s="353"/>
    </row>
    <row r="40" spans="1:169" s="156" customFormat="1" ht="12">
      <c r="A40" s="331"/>
      <c r="B40" s="358"/>
      <c r="C40" s="206" t="s">
        <v>477</v>
      </c>
      <c r="D40" s="353"/>
      <c r="E40" s="353"/>
      <c r="F40" s="353"/>
      <c r="G40" s="353"/>
      <c r="H40" s="355"/>
      <c r="I40" s="206" t="s">
        <v>477</v>
      </c>
      <c r="J40" s="353"/>
      <c r="K40" s="353"/>
      <c r="L40" s="353"/>
      <c r="M40" s="353"/>
      <c r="N40" s="353"/>
      <c r="O40" s="353"/>
      <c r="P40" s="206" t="s">
        <v>477</v>
      </c>
      <c r="Q40" s="353"/>
      <c r="R40" s="353"/>
      <c r="S40" s="353"/>
      <c r="T40" s="353"/>
      <c r="U40" s="206" t="s">
        <v>477</v>
      </c>
      <c r="V40" s="353"/>
      <c r="W40" s="353"/>
      <c r="X40" s="353"/>
      <c r="Y40" s="353"/>
      <c r="Z40" s="353"/>
      <c r="AA40" s="206" t="s">
        <v>477</v>
      </c>
      <c r="AB40" s="353"/>
      <c r="AC40" s="353"/>
      <c r="AD40" s="206"/>
      <c r="AE40" s="353"/>
      <c r="AF40" s="353"/>
      <c r="AG40" s="206" t="s">
        <v>477</v>
      </c>
      <c r="AH40" s="353"/>
      <c r="AI40" s="357"/>
      <c r="AK40" s="355"/>
      <c r="AL40" s="355"/>
      <c r="AM40" s="206" t="s">
        <v>477</v>
      </c>
      <c r="AN40" s="359"/>
      <c r="AO40" s="359"/>
      <c r="AP40" s="359"/>
      <c r="AQ40" s="206" t="s">
        <v>477</v>
      </c>
      <c r="AR40" s="355"/>
      <c r="AT40" s="357"/>
      <c r="AU40" s="353"/>
      <c r="AV40" s="357"/>
      <c r="AW40" s="357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3"/>
      <c r="DQ40" s="353"/>
      <c r="DR40" s="353"/>
      <c r="DS40" s="353"/>
      <c r="DT40" s="353"/>
      <c r="DU40" s="353"/>
      <c r="DV40" s="353"/>
      <c r="DW40" s="353"/>
      <c r="DX40" s="353"/>
      <c r="DY40" s="353"/>
      <c r="DZ40" s="353"/>
      <c r="EA40" s="353"/>
      <c r="EB40" s="353"/>
      <c r="EC40" s="353"/>
      <c r="ED40" s="353"/>
      <c r="EE40" s="353"/>
      <c r="EF40" s="353"/>
      <c r="EG40" s="353"/>
      <c r="EH40" s="353"/>
      <c r="EI40" s="353"/>
      <c r="EJ40" s="353"/>
      <c r="EK40" s="353"/>
      <c r="EL40" s="353"/>
      <c r="EM40" s="353"/>
      <c r="EN40" s="353"/>
      <c r="EO40" s="353"/>
      <c r="EP40" s="353"/>
      <c r="EQ40" s="353"/>
      <c r="ER40" s="353"/>
      <c r="ES40" s="353"/>
      <c r="ET40" s="353"/>
      <c r="EU40" s="353"/>
      <c r="EV40" s="353"/>
      <c r="EW40" s="353"/>
      <c r="EX40" s="353"/>
      <c r="EY40" s="353"/>
      <c r="EZ40" s="353"/>
      <c r="FA40" s="353"/>
      <c r="FB40" s="353"/>
      <c r="FC40" s="353"/>
      <c r="FD40" s="353"/>
      <c r="FE40" s="353"/>
      <c r="FF40" s="353"/>
      <c r="FG40" s="353"/>
      <c r="FH40" s="353"/>
      <c r="FI40" s="353"/>
      <c r="FJ40" s="353"/>
      <c r="FK40" s="353"/>
      <c r="FL40" s="353"/>
      <c r="FM40" s="353"/>
    </row>
    <row r="41" spans="1:169" s="156" customFormat="1" ht="12">
      <c r="A41" s="331"/>
      <c r="B41" s="358"/>
      <c r="C41" s="206" t="s">
        <v>478</v>
      </c>
      <c r="D41" s="353"/>
      <c r="E41" s="353"/>
      <c r="F41" s="353"/>
      <c r="G41" s="353"/>
      <c r="H41" s="355"/>
      <c r="I41" s="206" t="s">
        <v>478</v>
      </c>
      <c r="J41" s="353"/>
      <c r="K41" s="353"/>
      <c r="L41" s="353"/>
      <c r="M41" s="353"/>
      <c r="N41" s="353"/>
      <c r="O41" s="353"/>
      <c r="P41" s="206" t="s">
        <v>478</v>
      </c>
      <c r="Q41" s="353"/>
      <c r="R41" s="353"/>
      <c r="S41" s="353"/>
      <c r="T41" s="353"/>
      <c r="U41" s="206" t="s">
        <v>478</v>
      </c>
      <c r="V41" s="353"/>
      <c r="W41" s="353"/>
      <c r="X41" s="353"/>
      <c r="Y41" s="353"/>
      <c r="Z41" s="353"/>
      <c r="AA41" s="206" t="s">
        <v>478</v>
      </c>
      <c r="AB41" s="353"/>
      <c r="AC41" s="353"/>
      <c r="AD41" s="206"/>
      <c r="AE41" s="353"/>
      <c r="AF41" s="353"/>
      <c r="AG41" s="206" t="s">
        <v>478</v>
      </c>
      <c r="AH41" s="353"/>
      <c r="AI41" s="357"/>
      <c r="AK41" s="355"/>
      <c r="AL41" s="355"/>
      <c r="AM41" s="206" t="s">
        <v>478</v>
      </c>
      <c r="AN41" s="359"/>
      <c r="AO41" s="359"/>
      <c r="AP41" s="359"/>
      <c r="AQ41" s="206" t="s">
        <v>478</v>
      </c>
      <c r="AR41" s="355"/>
      <c r="AT41" s="357"/>
      <c r="AU41" s="353"/>
      <c r="AV41" s="357"/>
      <c r="AW41" s="357"/>
      <c r="AX41" s="353"/>
      <c r="AY41" s="353"/>
      <c r="AZ41" s="353"/>
      <c r="BA41" s="353"/>
      <c r="BB41" s="353"/>
      <c r="BC41" s="353"/>
      <c r="BD41" s="353"/>
      <c r="BE41" s="353"/>
      <c r="BF41" s="353"/>
      <c r="BG41" s="353"/>
      <c r="BH41" s="353"/>
      <c r="BI41" s="353"/>
      <c r="BJ41" s="353"/>
      <c r="BK41" s="353"/>
      <c r="BL41" s="353"/>
      <c r="BM41" s="353"/>
      <c r="BN41" s="353"/>
      <c r="BO41" s="353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53"/>
      <c r="DQ41" s="353"/>
      <c r="DR41" s="353"/>
      <c r="DS41" s="353"/>
      <c r="DT41" s="353"/>
      <c r="DU41" s="353"/>
      <c r="DV41" s="353"/>
      <c r="DW41" s="353"/>
      <c r="DX41" s="353"/>
      <c r="DY41" s="353"/>
      <c r="DZ41" s="353"/>
      <c r="EA41" s="353"/>
      <c r="EB41" s="353"/>
      <c r="EC41" s="353"/>
      <c r="ED41" s="353"/>
      <c r="EE41" s="353"/>
      <c r="EF41" s="353"/>
      <c r="EG41" s="353"/>
      <c r="EH41" s="353"/>
      <c r="EI41" s="353"/>
      <c r="EJ41" s="353"/>
      <c r="EK41" s="353"/>
      <c r="EL41" s="353"/>
      <c r="EM41" s="353"/>
      <c r="EN41" s="353"/>
      <c r="EO41" s="353"/>
      <c r="EP41" s="353"/>
      <c r="EQ41" s="353"/>
      <c r="ER41" s="353"/>
      <c r="ES41" s="353"/>
      <c r="ET41" s="353"/>
      <c r="EU41" s="353"/>
      <c r="EV41" s="353"/>
      <c r="EW41" s="353"/>
      <c r="EX41" s="353"/>
      <c r="EY41" s="353"/>
      <c r="EZ41" s="353"/>
      <c r="FA41" s="353"/>
      <c r="FB41" s="353"/>
      <c r="FC41" s="353"/>
      <c r="FD41" s="353"/>
      <c r="FE41" s="353"/>
      <c r="FF41" s="353"/>
      <c r="FG41" s="353"/>
      <c r="FH41" s="353"/>
      <c r="FI41" s="353"/>
      <c r="FJ41" s="353"/>
      <c r="FK41" s="353"/>
      <c r="FL41" s="353"/>
      <c r="FM41" s="353"/>
    </row>
    <row r="42" spans="1:169" s="156" customFormat="1" ht="12">
      <c r="A42" s="331"/>
      <c r="B42" s="358"/>
      <c r="C42" s="206" t="s">
        <v>502</v>
      </c>
      <c r="D42" s="353"/>
      <c r="E42" s="353"/>
      <c r="F42" s="353"/>
      <c r="G42" s="353"/>
      <c r="H42" s="355"/>
      <c r="I42" s="206" t="s">
        <v>502</v>
      </c>
      <c r="J42" s="353"/>
      <c r="K42" s="353"/>
      <c r="L42" s="353"/>
      <c r="M42" s="353"/>
      <c r="N42" s="353"/>
      <c r="O42" s="353"/>
      <c r="P42" s="206" t="s">
        <v>502</v>
      </c>
      <c r="Q42" s="353"/>
      <c r="R42" s="353"/>
      <c r="S42" s="353"/>
      <c r="T42" s="353"/>
      <c r="U42" s="206" t="s">
        <v>502</v>
      </c>
      <c r="V42" s="353"/>
      <c r="W42" s="353"/>
      <c r="X42" s="353"/>
      <c r="Y42" s="353"/>
      <c r="Z42" s="353"/>
      <c r="AA42" s="206" t="s">
        <v>502</v>
      </c>
      <c r="AB42" s="353"/>
      <c r="AC42" s="353"/>
      <c r="AD42" s="206"/>
      <c r="AE42" s="353"/>
      <c r="AF42" s="353"/>
      <c r="AG42" s="206" t="s">
        <v>502</v>
      </c>
      <c r="AH42" s="353"/>
      <c r="AI42" s="357"/>
      <c r="AK42" s="355"/>
      <c r="AL42" s="355"/>
      <c r="AM42" s="206" t="s">
        <v>502</v>
      </c>
      <c r="AN42" s="359"/>
      <c r="AO42" s="359"/>
      <c r="AP42" s="359"/>
      <c r="AQ42" s="206" t="s">
        <v>502</v>
      </c>
      <c r="AR42" s="355"/>
      <c r="AT42" s="357"/>
      <c r="AU42" s="353"/>
      <c r="AV42" s="357"/>
      <c r="AW42" s="357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3"/>
      <c r="DA42" s="353"/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3"/>
      <c r="DM42" s="353"/>
      <c r="DN42" s="353"/>
      <c r="DO42" s="353"/>
      <c r="DP42" s="353"/>
      <c r="DQ42" s="353"/>
      <c r="DR42" s="353"/>
      <c r="DS42" s="353"/>
      <c r="DT42" s="353"/>
      <c r="DU42" s="353"/>
      <c r="DV42" s="353"/>
      <c r="DW42" s="353"/>
      <c r="DX42" s="353"/>
      <c r="DY42" s="353"/>
      <c r="DZ42" s="353"/>
      <c r="EA42" s="353"/>
      <c r="EB42" s="353"/>
      <c r="EC42" s="353"/>
      <c r="ED42" s="353"/>
      <c r="EE42" s="353"/>
      <c r="EF42" s="353"/>
      <c r="EG42" s="353"/>
      <c r="EH42" s="353"/>
      <c r="EI42" s="353"/>
      <c r="EJ42" s="353"/>
      <c r="EK42" s="353"/>
      <c r="EL42" s="353"/>
      <c r="EM42" s="353"/>
      <c r="EN42" s="353"/>
      <c r="EO42" s="353"/>
      <c r="EP42" s="353"/>
      <c r="EQ42" s="353"/>
      <c r="ER42" s="353"/>
      <c r="ES42" s="353"/>
      <c r="ET42" s="353"/>
      <c r="EU42" s="353"/>
      <c r="EV42" s="353"/>
      <c r="EW42" s="353"/>
      <c r="EX42" s="353"/>
      <c r="EY42" s="353"/>
      <c r="EZ42" s="353"/>
      <c r="FA42" s="353"/>
      <c r="FB42" s="353"/>
      <c r="FC42" s="353"/>
      <c r="FD42" s="353"/>
      <c r="FE42" s="353"/>
      <c r="FF42" s="353"/>
      <c r="FG42" s="353"/>
      <c r="FH42" s="353"/>
      <c r="FI42" s="353"/>
      <c r="FJ42" s="353"/>
      <c r="FK42" s="353"/>
      <c r="FL42" s="353"/>
      <c r="FM42" s="353"/>
    </row>
    <row r="43" spans="1:169" s="156" customFormat="1" ht="12">
      <c r="A43" s="331"/>
      <c r="B43" s="358"/>
      <c r="C43" s="206" t="s">
        <v>503</v>
      </c>
      <c r="D43" s="353"/>
      <c r="E43" s="353"/>
      <c r="F43" s="353"/>
      <c r="G43" s="353"/>
      <c r="H43" s="355"/>
      <c r="I43" s="206" t="s">
        <v>503</v>
      </c>
      <c r="J43" s="353"/>
      <c r="K43" s="353"/>
      <c r="L43" s="353"/>
      <c r="M43" s="353"/>
      <c r="N43" s="353"/>
      <c r="O43" s="353"/>
      <c r="P43" s="206" t="s">
        <v>503</v>
      </c>
      <c r="Q43" s="353"/>
      <c r="R43" s="353"/>
      <c r="S43" s="353"/>
      <c r="T43" s="353"/>
      <c r="U43" s="206" t="s">
        <v>503</v>
      </c>
      <c r="V43" s="353"/>
      <c r="W43" s="353"/>
      <c r="X43" s="353"/>
      <c r="Y43" s="353"/>
      <c r="Z43" s="353"/>
      <c r="AA43" s="206" t="s">
        <v>503</v>
      </c>
      <c r="AB43" s="353"/>
      <c r="AC43" s="353"/>
      <c r="AD43" s="206"/>
      <c r="AE43" s="353"/>
      <c r="AF43" s="353"/>
      <c r="AG43" s="206" t="s">
        <v>503</v>
      </c>
      <c r="AH43" s="353"/>
      <c r="AI43" s="357"/>
      <c r="AK43" s="355"/>
      <c r="AL43" s="355"/>
      <c r="AM43" s="206" t="s">
        <v>503</v>
      </c>
      <c r="AN43" s="359"/>
      <c r="AO43" s="359"/>
      <c r="AP43" s="359"/>
      <c r="AQ43" s="206" t="s">
        <v>503</v>
      </c>
      <c r="AR43" s="355"/>
      <c r="AT43" s="357"/>
      <c r="AU43" s="353"/>
      <c r="AV43" s="357"/>
      <c r="AW43" s="357"/>
      <c r="AX43" s="353"/>
      <c r="AY43" s="353"/>
      <c r="AZ43" s="353"/>
      <c r="BA43" s="353"/>
      <c r="BB43" s="353"/>
      <c r="BC43" s="353"/>
      <c r="BD43" s="353"/>
      <c r="BE43" s="353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  <c r="DE43" s="353"/>
      <c r="DF43" s="353"/>
      <c r="DG43" s="353"/>
      <c r="DH43" s="353"/>
      <c r="DI43" s="353"/>
      <c r="DJ43" s="353"/>
      <c r="DK43" s="353"/>
      <c r="DL43" s="353"/>
      <c r="DM43" s="353"/>
      <c r="DN43" s="353"/>
      <c r="DO43" s="353"/>
      <c r="DP43" s="353"/>
      <c r="DQ43" s="353"/>
      <c r="DR43" s="353"/>
      <c r="DS43" s="353"/>
      <c r="DT43" s="353"/>
      <c r="DU43" s="353"/>
      <c r="DV43" s="353"/>
      <c r="DW43" s="353"/>
      <c r="DX43" s="353"/>
      <c r="DY43" s="353"/>
      <c r="DZ43" s="353"/>
      <c r="EA43" s="353"/>
      <c r="EB43" s="353"/>
      <c r="EC43" s="353"/>
      <c r="ED43" s="353"/>
      <c r="EE43" s="353"/>
      <c r="EF43" s="353"/>
      <c r="EG43" s="353"/>
      <c r="EH43" s="353"/>
      <c r="EI43" s="353"/>
      <c r="EJ43" s="353"/>
      <c r="EK43" s="353"/>
      <c r="EL43" s="353"/>
      <c r="EM43" s="353"/>
      <c r="EN43" s="353"/>
      <c r="EO43" s="353"/>
      <c r="EP43" s="353"/>
      <c r="EQ43" s="353"/>
      <c r="ER43" s="353"/>
      <c r="ES43" s="353"/>
      <c r="ET43" s="353"/>
      <c r="EU43" s="353"/>
      <c r="EV43" s="353"/>
      <c r="EW43" s="353"/>
      <c r="EX43" s="353"/>
      <c r="EY43" s="353"/>
      <c r="EZ43" s="353"/>
      <c r="FA43" s="353"/>
      <c r="FB43" s="353"/>
      <c r="FC43" s="353"/>
      <c r="FD43" s="353"/>
      <c r="FE43" s="353"/>
      <c r="FF43" s="353"/>
      <c r="FG43" s="353"/>
      <c r="FH43" s="353"/>
      <c r="FI43" s="353"/>
      <c r="FJ43" s="353"/>
      <c r="FK43" s="353"/>
      <c r="FL43" s="353"/>
      <c r="FM43" s="353"/>
    </row>
    <row r="44" spans="1:169" s="156" customFormat="1" ht="12">
      <c r="A44" s="331"/>
      <c r="B44" s="358"/>
      <c r="C44" s="206" t="s">
        <v>479</v>
      </c>
      <c r="D44" s="353"/>
      <c r="E44" s="353"/>
      <c r="F44" s="353"/>
      <c r="G44" s="353"/>
      <c r="H44" s="355"/>
      <c r="I44" s="206" t="s">
        <v>479</v>
      </c>
      <c r="J44" s="353"/>
      <c r="K44" s="353"/>
      <c r="L44" s="353"/>
      <c r="M44" s="353"/>
      <c r="N44" s="353"/>
      <c r="O44" s="353"/>
      <c r="P44" s="206" t="s">
        <v>479</v>
      </c>
      <c r="Q44" s="353"/>
      <c r="R44" s="353"/>
      <c r="S44" s="353"/>
      <c r="T44" s="353"/>
      <c r="U44" s="206" t="s">
        <v>479</v>
      </c>
      <c r="V44" s="353"/>
      <c r="W44" s="353"/>
      <c r="X44" s="353"/>
      <c r="Y44" s="353"/>
      <c r="Z44" s="353"/>
      <c r="AA44" s="206" t="s">
        <v>479</v>
      </c>
      <c r="AB44" s="353"/>
      <c r="AC44" s="353"/>
      <c r="AD44" s="206"/>
      <c r="AE44" s="353"/>
      <c r="AF44" s="353"/>
      <c r="AG44" s="206" t="s">
        <v>479</v>
      </c>
      <c r="AH44" s="353"/>
      <c r="AI44" s="206"/>
      <c r="AK44" s="355"/>
      <c r="AL44" s="355"/>
      <c r="AM44" s="206" t="s">
        <v>479</v>
      </c>
      <c r="AN44" s="359"/>
      <c r="AO44" s="359"/>
      <c r="AP44" s="359"/>
      <c r="AQ44" s="206" t="s">
        <v>479</v>
      </c>
      <c r="AR44" s="355"/>
      <c r="AT44" s="206"/>
      <c r="AU44" s="353"/>
      <c r="AV44" s="357"/>
      <c r="AW44" s="357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  <c r="DN44" s="353"/>
      <c r="DO44" s="353"/>
      <c r="DP44" s="353"/>
      <c r="DQ44" s="353"/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53"/>
      <c r="EE44" s="353"/>
      <c r="EF44" s="353"/>
      <c r="EG44" s="353"/>
      <c r="EH44" s="353"/>
      <c r="EI44" s="353"/>
      <c r="EJ44" s="353"/>
      <c r="EK44" s="353"/>
      <c r="EL44" s="353"/>
      <c r="EM44" s="353"/>
      <c r="EN44" s="353"/>
      <c r="EO44" s="353"/>
      <c r="EP44" s="353"/>
      <c r="EQ44" s="353"/>
      <c r="ER44" s="353"/>
      <c r="ES44" s="353"/>
      <c r="ET44" s="353"/>
      <c r="EU44" s="353"/>
      <c r="EV44" s="353"/>
      <c r="EW44" s="353"/>
      <c r="EX44" s="353"/>
      <c r="EY44" s="353"/>
      <c r="EZ44" s="353"/>
      <c r="FA44" s="353"/>
      <c r="FB44" s="353"/>
      <c r="FC44" s="353"/>
      <c r="FD44" s="353"/>
      <c r="FE44" s="353"/>
      <c r="FF44" s="353"/>
      <c r="FG44" s="353"/>
      <c r="FH44" s="353"/>
      <c r="FI44" s="353"/>
      <c r="FJ44" s="353"/>
      <c r="FK44" s="353"/>
      <c r="FL44" s="353"/>
      <c r="FM44" s="353"/>
    </row>
    <row r="45" spans="1:169" s="156" customFormat="1" ht="12">
      <c r="A45" s="331"/>
      <c r="B45" s="358"/>
      <c r="C45" s="206" t="s">
        <v>480</v>
      </c>
      <c r="D45" s="353"/>
      <c r="E45" s="353"/>
      <c r="F45" s="353"/>
      <c r="G45" s="353"/>
      <c r="H45" s="355"/>
      <c r="I45" s="206" t="s">
        <v>480</v>
      </c>
      <c r="J45" s="353"/>
      <c r="K45" s="353"/>
      <c r="L45" s="353"/>
      <c r="M45" s="353"/>
      <c r="N45" s="353"/>
      <c r="O45" s="353"/>
      <c r="P45" s="206" t="s">
        <v>480</v>
      </c>
      <c r="Q45" s="353"/>
      <c r="R45" s="353"/>
      <c r="S45" s="353"/>
      <c r="T45" s="353"/>
      <c r="U45" s="206" t="s">
        <v>480</v>
      </c>
      <c r="V45" s="353"/>
      <c r="W45" s="353"/>
      <c r="X45" s="353"/>
      <c r="Y45" s="353"/>
      <c r="Z45" s="353"/>
      <c r="AA45" s="206" t="s">
        <v>480</v>
      </c>
      <c r="AB45" s="353"/>
      <c r="AC45" s="353"/>
      <c r="AD45" s="206"/>
      <c r="AE45" s="353"/>
      <c r="AF45" s="353"/>
      <c r="AG45" s="206" t="s">
        <v>480</v>
      </c>
      <c r="AH45" s="353"/>
      <c r="AI45" s="206"/>
      <c r="AK45" s="355"/>
      <c r="AL45" s="355"/>
      <c r="AM45" s="206" t="s">
        <v>480</v>
      </c>
      <c r="AN45" s="359"/>
      <c r="AO45" s="359"/>
      <c r="AP45" s="359"/>
      <c r="AQ45" s="206" t="s">
        <v>480</v>
      </c>
      <c r="AR45" s="355"/>
      <c r="AT45" s="206"/>
      <c r="AU45" s="353"/>
      <c r="AV45" s="357"/>
      <c r="AW45" s="357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  <c r="DE45" s="353"/>
      <c r="DF45" s="353"/>
      <c r="DG45" s="353"/>
      <c r="DH45" s="353"/>
      <c r="DI45" s="353"/>
      <c r="DJ45" s="353"/>
      <c r="DK45" s="353"/>
      <c r="DL45" s="353"/>
      <c r="DM45" s="353"/>
      <c r="DN45" s="353"/>
      <c r="DO45" s="353"/>
      <c r="DP45" s="353"/>
      <c r="DQ45" s="353"/>
      <c r="DR45" s="353"/>
      <c r="DS45" s="353"/>
      <c r="DT45" s="353"/>
      <c r="DU45" s="353"/>
      <c r="DV45" s="353"/>
      <c r="DW45" s="353"/>
      <c r="DX45" s="353"/>
      <c r="DY45" s="353"/>
      <c r="DZ45" s="353"/>
      <c r="EA45" s="353"/>
      <c r="EB45" s="353"/>
      <c r="EC45" s="353"/>
      <c r="ED45" s="353"/>
      <c r="EE45" s="353"/>
      <c r="EF45" s="353"/>
      <c r="EG45" s="353"/>
      <c r="EH45" s="353"/>
      <c r="EI45" s="353"/>
      <c r="EJ45" s="353"/>
      <c r="EK45" s="353"/>
      <c r="EL45" s="353"/>
      <c r="EM45" s="353"/>
      <c r="EN45" s="353"/>
      <c r="EO45" s="353"/>
      <c r="EP45" s="353"/>
      <c r="EQ45" s="353"/>
      <c r="ER45" s="353"/>
      <c r="ES45" s="353"/>
      <c r="ET45" s="353"/>
      <c r="EU45" s="353"/>
      <c r="EV45" s="353"/>
      <c r="EW45" s="353"/>
      <c r="EX45" s="353"/>
      <c r="EY45" s="353"/>
      <c r="EZ45" s="353"/>
      <c r="FA45" s="353"/>
      <c r="FB45" s="353"/>
      <c r="FC45" s="353"/>
      <c r="FD45" s="353"/>
      <c r="FE45" s="353"/>
      <c r="FF45" s="353"/>
      <c r="FG45" s="353"/>
      <c r="FH45" s="353"/>
      <c r="FI45" s="353"/>
      <c r="FJ45" s="353"/>
      <c r="FK45" s="353"/>
      <c r="FL45" s="353"/>
      <c r="FM45" s="353"/>
    </row>
    <row r="46" spans="1:169" s="99" customFormat="1" ht="12.75">
      <c r="A46" s="43"/>
      <c r="B46" s="349"/>
      <c r="C46" s="33"/>
      <c r="D46" s="58"/>
      <c r="E46" s="58"/>
      <c r="F46" s="58"/>
      <c r="G46" s="58"/>
      <c r="H46" s="57"/>
      <c r="I46" s="33"/>
      <c r="J46" s="58"/>
      <c r="K46" s="58"/>
      <c r="L46" s="58"/>
      <c r="M46" s="58"/>
      <c r="N46" s="58"/>
      <c r="O46" s="58"/>
      <c r="P46" s="33"/>
      <c r="Q46" s="58"/>
      <c r="R46" s="58"/>
      <c r="S46" s="58"/>
      <c r="T46" s="58"/>
      <c r="U46" s="33"/>
      <c r="V46" s="58"/>
      <c r="W46" s="58"/>
      <c r="X46" s="58"/>
      <c r="Y46" s="58"/>
      <c r="Z46" s="58"/>
      <c r="AA46" s="33"/>
      <c r="AB46" s="58"/>
      <c r="AC46" s="58"/>
      <c r="AD46" s="58"/>
      <c r="AE46" s="58"/>
      <c r="AF46" s="58"/>
      <c r="AG46" s="33"/>
      <c r="AH46" s="58"/>
      <c r="AI46" s="59"/>
      <c r="AJ46" s="57"/>
      <c r="AK46" s="57"/>
      <c r="AL46" s="57"/>
      <c r="AM46" s="33"/>
      <c r="AN46" s="51"/>
      <c r="AO46" s="51"/>
      <c r="AP46" s="51"/>
      <c r="AQ46" s="33"/>
      <c r="AR46" s="57"/>
      <c r="AT46" s="59"/>
      <c r="AU46" s="58"/>
      <c r="AV46" s="59"/>
      <c r="AW46" s="59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</row>
    <row r="47" spans="1:169" s="99" customFormat="1" ht="12.75">
      <c r="A47" s="43"/>
      <c r="B47" s="349"/>
      <c r="C47" s="33"/>
      <c r="D47" s="58"/>
      <c r="E47" s="58"/>
      <c r="F47" s="58"/>
      <c r="G47" s="58"/>
      <c r="H47" s="57"/>
      <c r="I47" s="58"/>
      <c r="J47" s="58"/>
      <c r="K47" s="58"/>
      <c r="L47" s="58"/>
      <c r="M47" s="58"/>
      <c r="N47" s="58"/>
      <c r="O47" s="58"/>
      <c r="P47" s="57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J47" s="57"/>
      <c r="AK47" s="57"/>
      <c r="AL47" s="57"/>
      <c r="AM47" s="51"/>
      <c r="AN47" s="51"/>
      <c r="AO47" s="51"/>
      <c r="AP47" s="51"/>
      <c r="AQ47" s="59"/>
      <c r="AR47" s="57"/>
      <c r="AT47" s="59"/>
      <c r="AU47" s="58"/>
      <c r="AV47" s="59"/>
      <c r="AW47" s="59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</row>
    <row r="48" spans="1:169" s="99" customFormat="1" ht="12.75">
      <c r="A48" s="43"/>
      <c r="B48" s="349"/>
      <c r="C48" s="33"/>
      <c r="D48" s="58"/>
      <c r="E48" s="58"/>
      <c r="F48" s="58"/>
      <c r="G48" s="58"/>
      <c r="H48" s="57"/>
      <c r="I48" s="58"/>
      <c r="J48" s="58"/>
      <c r="K48" s="58"/>
      <c r="L48" s="58"/>
      <c r="M48" s="58"/>
      <c r="N48" s="58"/>
      <c r="O48" s="58"/>
      <c r="P48" s="57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9"/>
      <c r="AJ48" s="57"/>
      <c r="AK48" s="57"/>
      <c r="AL48" s="57"/>
      <c r="AM48" s="51"/>
      <c r="AN48" s="51"/>
      <c r="AO48" s="51"/>
      <c r="AP48" s="51"/>
      <c r="AQ48" s="59"/>
      <c r="AR48" s="57"/>
      <c r="AT48" s="59"/>
      <c r="AU48" s="58"/>
      <c r="AV48" s="59"/>
      <c r="AW48" s="59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</row>
    <row r="49" spans="1:169" s="99" customFormat="1" ht="12.75">
      <c r="A49" s="43"/>
      <c r="B49" s="349"/>
      <c r="C49" s="33"/>
      <c r="D49" s="58"/>
      <c r="E49" s="58"/>
      <c r="F49" s="58"/>
      <c r="G49" s="58"/>
      <c r="H49" s="57"/>
      <c r="I49" s="58"/>
      <c r="J49" s="58"/>
      <c r="K49" s="58"/>
      <c r="L49" s="58"/>
      <c r="M49" s="58"/>
      <c r="N49" s="58"/>
      <c r="O49" s="58"/>
      <c r="P49" s="57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9"/>
      <c r="AJ49" s="57"/>
      <c r="AK49" s="57"/>
      <c r="AL49" s="57"/>
      <c r="AM49" s="51"/>
      <c r="AN49" s="51"/>
      <c r="AO49" s="51"/>
      <c r="AP49" s="51"/>
      <c r="AQ49" s="59"/>
      <c r="AR49" s="57"/>
      <c r="AT49" s="59"/>
      <c r="AU49" s="58"/>
      <c r="AV49" s="59"/>
      <c r="AW49" s="59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</row>
    <row r="50" spans="1:169" s="99" customFormat="1" ht="12.75">
      <c r="A50" s="43"/>
      <c r="B50" s="341"/>
      <c r="C50" s="59"/>
      <c r="D50" s="58"/>
      <c r="E50" s="58"/>
      <c r="F50" s="58"/>
      <c r="G50" s="58"/>
      <c r="H50" s="57"/>
      <c r="I50" s="58"/>
      <c r="J50" s="58"/>
      <c r="K50" s="58"/>
      <c r="L50" s="58"/>
      <c r="M50" s="58"/>
      <c r="N50" s="58"/>
      <c r="O50" s="58"/>
      <c r="P50" s="57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9"/>
      <c r="AJ50" s="57"/>
      <c r="AK50" s="57"/>
      <c r="AL50" s="57"/>
      <c r="AM50" s="51"/>
      <c r="AN50" s="51"/>
      <c r="AO50" s="51"/>
      <c r="AP50" s="51"/>
      <c r="AQ50" s="59"/>
      <c r="AR50" s="57"/>
      <c r="AT50" s="59"/>
      <c r="AU50" s="58"/>
      <c r="AV50" s="59"/>
      <c r="AW50" s="59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</row>
    <row r="51" spans="1:169" s="99" customFormat="1" ht="12.75">
      <c r="A51" s="43"/>
      <c r="B51" s="341"/>
      <c r="C51" s="59"/>
      <c r="D51" s="58"/>
      <c r="E51" s="58"/>
      <c r="F51" s="58"/>
      <c r="G51" s="58"/>
      <c r="H51" s="57"/>
      <c r="I51" s="58"/>
      <c r="J51" s="58"/>
      <c r="K51" s="58"/>
      <c r="L51" s="58"/>
      <c r="M51" s="58"/>
      <c r="N51" s="58"/>
      <c r="O51" s="58"/>
      <c r="P51" s="57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9"/>
      <c r="AJ51" s="57"/>
      <c r="AK51" s="57"/>
      <c r="AL51" s="57"/>
      <c r="AM51" s="51"/>
      <c r="AN51" s="51"/>
      <c r="AO51" s="51"/>
      <c r="AP51" s="51"/>
      <c r="AQ51" s="59"/>
      <c r="AR51" s="57"/>
      <c r="AT51" s="59"/>
      <c r="AU51" s="58"/>
      <c r="AV51" s="59"/>
      <c r="AW51" s="59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</row>
    <row r="52" spans="1:169" s="99" customFormat="1" ht="12.75">
      <c r="A52" s="43"/>
      <c r="B52" s="341"/>
      <c r="C52" s="59"/>
      <c r="D52" s="58"/>
      <c r="E52" s="58"/>
      <c r="F52" s="58"/>
      <c r="G52" s="58"/>
      <c r="H52" s="57"/>
      <c r="I52" s="58"/>
      <c r="J52" s="58"/>
      <c r="K52" s="58"/>
      <c r="L52" s="58"/>
      <c r="M52" s="58"/>
      <c r="N52" s="58"/>
      <c r="O52" s="58"/>
      <c r="P52" s="57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9"/>
      <c r="AJ52" s="57"/>
      <c r="AK52" s="57"/>
      <c r="AL52" s="57"/>
      <c r="AM52" s="51"/>
      <c r="AN52" s="51"/>
      <c r="AO52" s="51"/>
      <c r="AP52" s="51"/>
      <c r="AQ52" s="59"/>
      <c r="AR52" s="57"/>
      <c r="AT52" s="59"/>
      <c r="AU52" s="58"/>
      <c r="AV52" s="59"/>
      <c r="AW52" s="59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</row>
    <row r="53" spans="1:169" s="99" customFormat="1" ht="12.75">
      <c r="A53" s="43"/>
      <c r="B53" s="341"/>
      <c r="C53" s="59"/>
      <c r="D53" s="58"/>
      <c r="E53" s="58"/>
      <c r="F53" s="58"/>
      <c r="G53" s="58"/>
      <c r="H53" s="57"/>
      <c r="I53" s="58"/>
      <c r="J53" s="58"/>
      <c r="K53" s="58"/>
      <c r="L53" s="58"/>
      <c r="M53" s="58"/>
      <c r="N53" s="58"/>
      <c r="O53" s="58"/>
      <c r="P53" s="5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9"/>
      <c r="AJ53" s="57"/>
      <c r="AK53" s="57"/>
      <c r="AL53" s="57"/>
      <c r="AM53" s="51"/>
      <c r="AN53" s="51"/>
      <c r="AO53" s="51"/>
      <c r="AP53" s="51"/>
      <c r="AQ53" s="59"/>
      <c r="AR53" s="57"/>
      <c r="AT53" s="59"/>
      <c r="AU53" s="58"/>
      <c r="AV53" s="59"/>
      <c r="AW53" s="59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</row>
    <row r="54" spans="1:169" s="99" customFormat="1" ht="12.75">
      <c r="A54" s="43"/>
      <c r="B54" s="341"/>
      <c r="C54" s="59"/>
      <c r="D54" s="58"/>
      <c r="E54" s="58"/>
      <c r="F54" s="58"/>
      <c r="G54" s="58"/>
      <c r="H54" s="57"/>
      <c r="I54" s="58"/>
      <c r="J54" s="58"/>
      <c r="K54" s="58"/>
      <c r="L54" s="58"/>
      <c r="M54" s="58"/>
      <c r="N54" s="58"/>
      <c r="O54" s="58"/>
      <c r="P54" s="57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9"/>
      <c r="AJ54" s="57"/>
      <c r="AK54" s="57"/>
      <c r="AL54" s="57"/>
      <c r="AM54" s="51"/>
      <c r="AN54" s="51"/>
      <c r="AO54" s="51"/>
      <c r="AP54" s="51"/>
      <c r="AQ54" s="59"/>
      <c r="AR54" s="57"/>
      <c r="AT54" s="59"/>
      <c r="AU54" s="58"/>
      <c r="AV54" s="59"/>
      <c r="AW54" s="59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</row>
    <row r="55" spans="1:169" s="99" customFormat="1" ht="12.75">
      <c r="A55" s="43"/>
      <c r="B55" s="341"/>
      <c r="C55" s="59"/>
      <c r="D55" s="58"/>
      <c r="E55" s="58"/>
      <c r="F55" s="58"/>
      <c r="G55" s="58"/>
      <c r="H55" s="57"/>
      <c r="I55" s="58"/>
      <c r="J55" s="58"/>
      <c r="K55" s="58"/>
      <c r="L55" s="58"/>
      <c r="M55" s="58"/>
      <c r="N55" s="58"/>
      <c r="O55" s="58"/>
      <c r="P55" s="57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9"/>
      <c r="AJ55" s="57"/>
      <c r="AK55" s="57"/>
      <c r="AL55" s="57"/>
      <c r="AM55" s="51"/>
      <c r="AN55" s="51"/>
      <c r="AO55" s="51"/>
      <c r="AP55" s="51"/>
      <c r="AQ55" s="59"/>
      <c r="AR55" s="57"/>
      <c r="AT55" s="59"/>
      <c r="AU55" s="58"/>
      <c r="AV55" s="59"/>
      <c r="AW55" s="59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</row>
    <row r="56" spans="1:169" s="99" customFormat="1" ht="12.75">
      <c r="A56" s="43"/>
      <c r="B56" s="341"/>
      <c r="C56" s="59"/>
      <c r="D56" s="58"/>
      <c r="E56" s="58"/>
      <c r="F56" s="58"/>
      <c r="G56" s="58"/>
      <c r="H56" s="57"/>
      <c r="I56" s="58"/>
      <c r="J56" s="58"/>
      <c r="K56" s="58"/>
      <c r="L56" s="58"/>
      <c r="M56" s="58"/>
      <c r="N56" s="58"/>
      <c r="O56" s="58"/>
      <c r="P56" s="57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9"/>
      <c r="AJ56" s="57"/>
      <c r="AK56" s="57"/>
      <c r="AL56" s="57"/>
      <c r="AM56" s="51"/>
      <c r="AN56" s="51"/>
      <c r="AO56" s="51"/>
      <c r="AP56" s="51"/>
      <c r="AQ56" s="59"/>
      <c r="AR56" s="57"/>
      <c r="AT56" s="59"/>
      <c r="AU56" s="58"/>
      <c r="AV56" s="59"/>
      <c r="AW56" s="59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</row>
    <row r="57" spans="1:169" s="99" customFormat="1" ht="12.75">
      <c r="A57" s="43"/>
      <c r="B57" s="341"/>
      <c r="C57" s="59"/>
      <c r="D57" s="58"/>
      <c r="E57" s="58"/>
      <c r="F57" s="58"/>
      <c r="G57" s="58"/>
      <c r="H57" s="57"/>
      <c r="I57" s="58"/>
      <c r="J57" s="58"/>
      <c r="K57" s="58"/>
      <c r="L57" s="58"/>
      <c r="M57" s="58"/>
      <c r="N57" s="58"/>
      <c r="O57" s="58"/>
      <c r="P57" s="57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9"/>
      <c r="AJ57" s="57"/>
      <c r="AK57" s="57"/>
      <c r="AL57" s="57"/>
      <c r="AM57" s="51"/>
      <c r="AN57" s="51"/>
      <c r="AO57" s="51"/>
      <c r="AP57" s="51"/>
      <c r="AQ57" s="59"/>
      <c r="AR57" s="57"/>
      <c r="AT57" s="59"/>
      <c r="AU57" s="58"/>
      <c r="AV57" s="59"/>
      <c r="AW57" s="59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</row>
    <row r="58" spans="1:169" s="99" customFormat="1" ht="12.75">
      <c r="A58" s="32"/>
      <c r="B58" s="345"/>
      <c r="C58" s="59"/>
      <c r="D58" s="58"/>
      <c r="E58" s="58"/>
      <c r="F58" s="58"/>
      <c r="G58" s="58"/>
      <c r="H58" s="57"/>
      <c r="I58" s="58"/>
      <c r="J58" s="58"/>
      <c r="K58" s="58"/>
      <c r="L58" s="58"/>
      <c r="M58" s="58"/>
      <c r="N58" s="58"/>
      <c r="O58" s="58"/>
      <c r="P58" s="57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9"/>
      <c r="AJ58" s="57"/>
      <c r="AK58" s="57"/>
      <c r="AL58" s="57"/>
      <c r="AM58" s="51"/>
      <c r="AN58" s="51"/>
      <c r="AO58" s="51"/>
      <c r="AP58" s="51"/>
      <c r="AQ58" s="59"/>
      <c r="AR58" s="57"/>
      <c r="AT58" s="59"/>
      <c r="AU58" s="58"/>
      <c r="AV58" s="59"/>
      <c r="AW58" s="59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</row>
    <row r="59" spans="1:169" s="99" customFormat="1" ht="12.75">
      <c r="A59" s="122"/>
      <c r="B59" s="350"/>
      <c r="C59" s="58"/>
      <c r="D59" s="58"/>
      <c r="E59" s="58"/>
      <c r="F59" s="58"/>
      <c r="G59" s="58"/>
      <c r="H59" s="57"/>
      <c r="I59" s="58"/>
      <c r="J59" s="58"/>
      <c r="K59" s="58"/>
      <c r="L59" s="58"/>
      <c r="M59" s="58"/>
      <c r="N59" s="58"/>
      <c r="O59" s="58"/>
      <c r="P59" s="57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7"/>
      <c r="AK59" s="57"/>
      <c r="AL59" s="57"/>
      <c r="AM59" s="51"/>
      <c r="AN59" s="51"/>
      <c r="AO59" s="51"/>
      <c r="AP59" s="51"/>
      <c r="AQ59" s="58"/>
      <c r="AR59" s="58"/>
      <c r="AT59" s="58"/>
      <c r="AU59" s="58"/>
      <c r="AV59" s="59"/>
      <c r="AW59" s="59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</row>
    <row r="60" spans="1:51" ht="12.75">
      <c r="A60" s="32"/>
      <c r="B60" s="351"/>
      <c r="C60" s="5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108"/>
      <c r="X60" s="59"/>
      <c r="Y60" s="59"/>
      <c r="AJ60" s="33"/>
      <c r="AK60" s="33"/>
      <c r="AL60" s="33"/>
      <c r="AM60" s="59"/>
      <c r="AN60" s="59"/>
      <c r="AO60" s="59"/>
      <c r="AP60" s="59"/>
      <c r="AR60" s="59"/>
      <c r="AV60" s="16"/>
      <c r="AW60" s="16"/>
      <c r="AX60" s="59"/>
      <c r="AY60" s="59"/>
    </row>
    <row r="61" spans="1:51" ht="12.75">
      <c r="A61" s="37" t="s">
        <v>324</v>
      </c>
      <c r="B61" s="338"/>
      <c r="C61" s="59"/>
      <c r="D61" s="59"/>
      <c r="E61" s="59"/>
      <c r="F61" s="59"/>
      <c r="G61" s="59"/>
      <c r="H61" s="33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33"/>
      <c r="AK61" s="33"/>
      <c r="AL61" s="33"/>
      <c r="AM61" s="59"/>
      <c r="AN61" s="59"/>
      <c r="AO61" s="59"/>
      <c r="AP61" s="59"/>
      <c r="AQ61" s="59"/>
      <c r="AR61" s="59"/>
      <c r="AS61" s="59"/>
      <c r="AT61" s="59"/>
      <c r="AU61" s="59"/>
      <c r="AV61" s="16"/>
      <c r="AW61" s="16"/>
      <c r="AX61" s="59"/>
      <c r="AY61" s="59"/>
    </row>
    <row r="62" spans="1:51" ht="12.75">
      <c r="A62" s="37" t="s">
        <v>218</v>
      </c>
      <c r="B62" s="338"/>
      <c r="P62" s="59"/>
      <c r="X62" s="59"/>
      <c r="Y62" s="59"/>
      <c r="AD62" s="59"/>
      <c r="AE62" s="59"/>
      <c r="AJ62" s="33"/>
      <c r="AK62" s="33"/>
      <c r="AL62" s="33"/>
      <c r="AM62" s="59"/>
      <c r="AN62" s="59"/>
      <c r="AO62" s="59"/>
      <c r="AP62" s="59"/>
      <c r="AR62" s="59"/>
      <c r="AS62" s="59"/>
      <c r="AU62" s="59"/>
      <c r="AV62" s="16"/>
      <c r="AW62" s="16"/>
      <c r="AX62" s="59"/>
      <c r="AY62" s="59"/>
    </row>
    <row r="63" spans="1:51" ht="12.75">
      <c r="A63" s="33" t="s">
        <v>435</v>
      </c>
      <c r="B63" s="338"/>
      <c r="C63" s="100">
        <f>+'5.1. Séreignard.'!B33-'5.1. Séreignard.'!B41</f>
        <v>214174</v>
      </c>
      <c r="D63" s="100">
        <f>+'5.1. Séreignard.'!C33-'5.1. Séreignard.'!C41</f>
        <v>32867</v>
      </c>
      <c r="E63" s="100">
        <f>+'5.1. Séreignard.'!D33-'5.1. Séreignard.'!D41</f>
        <v>13440</v>
      </c>
      <c r="F63" s="100">
        <f>+'5.1. Séreignard.'!E33-'5.1. Séreignard.'!E41</f>
        <v>213223</v>
      </c>
      <c r="G63" s="100">
        <f>+'5.1. Séreignard.'!F33-'5.1. Séreignard.'!F41</f>
        <v>41591</v>
      </c>
      <c r="H63" s="100">
        <f>+'5.1. Séreignard.'!G33-'5.1. Séreignard.'!G41</f>
        <v>60142</v>
      </c>
      <c r="I63" s="100">
        <f>+'5.1. Séreignard.'!H33-'5.1. Séreignard.'!H41</f>
        <v>12412</v>
      </c>
      <c r="J63" s="100">
        <f>+'5.1. Séreignard.'!I33-'5.1. Séreignard.'!I41</f>
        <v>594</v>
      </c>
      <c r="K63" s="100">
        <f>+'5.1. Séreignard.'!J33-'5.1. Séreignard.'!J41</f>
        <v>801</v>
      </c>
      <c r="L63" s="100">
        <f>+'5.1. Séreignard.'!K33-'5.1. Séreignard.'!K41</f>
        <v>20183</v>
      </c>
      <c r="M63" s="100">
        <f>+'5.1. Séreignard.'!L33-'5.1. Séreignard.'!L41</f>
        <v>61671</v>
      </c>
      <c r="N63" s="100">
        <f>+'5.1. Séreignard.'!M33-'5.1. Séreignard.'!M41</f>
        <v>26813</v>
      </c>
      <c r="O63" s="100">
        <f>+'5.1. Séreignard.'!N33-'5.1. Séreignard.'!N41</f>
        <v>81344</v>
      </c>
      <c r="P63" s="100">
        <f>+'5.1. Séreignard.'!O33-'5.1. Séreignard.'!O41</f>
        <v>12942</v>
      </c>
      <c r="Q63" s="100">
        <f>+'5.1. Séreignard.'!P33-'5.1. Séreignard.'!P41</f>
        <v>482627</v>
      </c>
      <c r="R63" s="100">
        <f>+'5.1. Séreignard.'!Q33-'5.1. Séreignard.'!Q41</f>
        <v>2198174</v>
      </c>
      <c r="S63" s="100">
        <f>+'5.1. Séreignard.'!R33-'5.1. Séreignard.'!R41</f>
        <v>112471</v>
      </c>
      <c r="T63" s="100">
        <f>+'5.1. Séreignard.'!S33-'5.1. Séreignard.'!S41</f>
        <v>37813</v>
      </c>
      <c r="U63" s="100">
        <f>+'5.1. Séreignard.'!T33-'5.1. Séreignard.'!T41</f>
        <v>2985819</v>
      </c>
      <c r="V63" s="100">
        <f>+'5.1. Séreignard.'!U33-'5.1. Séreignard.'!U41</f>
        <v>105938</v>
      </c>
      <c r="W63" s="100">
        <f>+'5.1. Séreignard.'!V33-'5.1. Séreignard.'!V41</f>
        <v>214741</v>
      </c>
      <c r="X63" s="100">
        <f>+'5.1. Séreignard.'!W33-'5.1. Séreignard.'!W41</f>
        <v>12741</v>
      </c>
      <c r="Y63" s="100">
        <f>+'5.1. Séreignard.'!X33-'5.1. Séreignard.'!X41</f>
        <v>19980</v>
      </c>
      <c r="Z63" s="100">
        <f>+'5.1. Séreignard.'!Y33-'5.1. Séreignard.'!Y41</f>
        <v>132987</v>
      </c>
      <c r="AA63" s="100">
        <f>+'5.1. Séreignard.'!Z33-'5.1. Séreignard.'!Z41</f>
        <v>2088</v>
      </c>
      <c r="AB63" s="100">
        <f>+'5.1. Séreignard.'!AA33-'5.1. Séreignard.'!AA41</f>
        <v>17270</v>
      </c>
      <c r="AC63" s="100">
        <f>+'5.1. Séreignard.'!AB33-'5.1. Séreignard.'!AB41</f>
        <v>48538</v>
      </c>
      <c r="AD63" s="100">
        <f>+'5.1. Séreignard.'!AC33-'5.1. Séreignard.'!AC41</f>
        <v>2212</v>
      </c>
      <c r="AE63" s="100">
        <f>+'5.1. Séreignard.'!AD33-'5.1. Séreignard.'!AD41</f>
        <v>7194</v>
      </c>
      <c r="AF63" s="100">
        <f>+'5.1. Séreignard.'!AE33-'5.1. Séreignard.'!AE41</f>
        <v>3102</v>
      </c>
      <c r="AG63" s="100">
        <f>+'5.1. Séreignard.'!AF33-'5.1. Séreignard.'!AF41</f>
        <v>390635.12500000006</v>
      </c>
      <c r="AH63" s="100">
        <f>+'5.1. Séreignard.'!AG33-'5.1. Séreignard.'!AG41</f>
        <v>480266.292</v>
      </c>
      <c r="AI63" s="100">
        <f>+'5.1. Séreignard.'!AH33-'5.1. Séreignard.'!AH41</f>
        <v>96770.88</v>
      </c>
      <c r="AJ63" s="100">
        <f>+'5.1. Séreignard.'!AI33-'5.1. Séreignard.'!AI41</f>
        <v>29017</v>
      </c>
      <c r="AK63" s="100">
        <f>+'5.1. Séreignard.'!AJ33-'5.1. Séreignard.'!AJ41</f>
        <v>3609</v>
      </c>
      <c r="AL63" s="100">
        <f>+'5.1. Séreignard.'!AK33-'5.1. Séreignard.'!AK41</f>
        <v>1720</v>
      </c>
      <c r="AM63" s="100">
        <f>+'5.1. Séreignard.'!AL33-'5.1. Séreignard.'!AL41</f>
        <v>49656.365</v>
      </c>
      <c r="AN63" s="100">
        <f>+'5.1. Séreignard.'!AM33-'5.1. Séreignard.'!AM41</f>
        <v>313557.70200000005</v>
      </c>
      <c r="AO63" s="100">
        <f>+'5.1. Séreignard.'!AN33-'5.1. Séreignard.'!AN41</f>
        <v>199806.339</v>
      </c>
      <c r="AP63" s="100">
        <f>+'5.1. Séreignard.'!AO33-'5.1. Séreignard.'!AO41</f>
        <v>20591.098</v>
      </c>
      <c r="AQ63" s="100">
        <f>+'5.1. Séreignard.'!AP33-'5.1. Séreignard.'!AP41</f>
        <v>522</v>
      </c>
      <c r="AR63" s="100">
        <f>+'5.1. Séreignard.'!AQ33-'5.1. Séreignard.'!AQ41</f>
        <v>205603</v>
      </c>
      <c r="AS63" s="100"/>
      <c r="AT63" s="100">
        <f>+'5.1. Séreignard.'!AS33-'5.1. Séreignard.'!AS41</f>
        <v>8967646.800999999</v>
      </c>
      <c r="AU63" s="79"/>
      <c r="AV63" s="30"/>
      <c r="AW63" s="30"/>
      <c r="AX63" s="59"/>
      <c r="AY63" s="59"/>
    </row>
    <row r="64" spans="1:51" ht="12.75">
      <c r="A64" s="33" t="s">
        <v>436</v>
      </c>
      <c r="B64" s="338"/>
      <c r="C64" s="76">
        <f>+'5.1. Séreignard.'!B46-'5.1. Séreignard.'!B48+'5.1. Séreignard.'!B50</f>
        <v>2176</v>
      </c>
      <c r="D64" s="76">
        <f>+'5.1. Séreignard.'!C46-'5.1. Séreignard.'!C48+'5.1. Séreignard.'!C50</f>
        <v>403</v>
      </c>
      <c r="E64" s="76">
        <f>+'5.1. Séreignard.'!D46-'5.1. Séreignard.'!D48+'5.1. Séreignard.'!D50</f>
        <v>237</v>
      </c>
      <c r="F64" s="76">
        <f>+'5.1. Séreignard.'!E46-'5.1. Séreignard.'!E48+'5.1. Séreignard.'!E50</f>
        <v>638</v>
      </c>
      <c r="G64" s="76">
        <f>+'5.1. Séreignard.'!F46-'5.1. Séreignard.'!F48+'5.1. Séreignard.'!F50</f>
        <v>1398</v>
      </c>
      <c r="H64" s="76">
        <f>+'5.1. Séreignard.'!G46-'5.1. Séreignard.'!G48+'5.1. Séreignard.'!G50</f>
        <v>2260</v>
      </c>
      <c r="I64" s="76">
        <f>+'5.1. Séreignard.'!H46-'5.1. Séreignard.'!H48+'5.1. Séreignard.'!H50</f>
        <v>0</v>
      </c>
      <c r="J64" s="76">
        <f>+'5.1. Séreignard.'!I46-'5.1. Séreignard.'!I48+'5.1. Séreignard.'!I50</f>
        <v>0</v>
      </c>
      <c r="K64" s="76">
        <f>+'5.1. Séreignard.'!J46-'5.1. Séreignard.'!J48+'5.1. Séreignard.'!J50</f>
        <v>0</v>
      </c>
      <c r="L64" s="76">
        <f>+'5.1. Séreignard.'!K46-'5.1. Séreignard.'!K48+'5.1. Séreignard.'!K50</f>
        <v>300</v>
      </c>
      <c r="M64" s="76">
        <f>+'5.1. Séreignard.'!L46-'5.1. Séreignard.'!L48+'5.1. Séreignard.'!L50</f>
        <v>1350</v>
      </c>
      <c r="N64" s="76">
        <f>+'5.1. Séreignard.'!M46-'5.1. Séreignard.'!M48+'5.1. Séreignard.'!M50</f>
        <v>462</v>
      </c>
      <c r="O64" s="76">
        <f>+'5.1. Séreignard.'!N46-'5.1. Séreignard.'!N48+'5.1. Séreignard.'!N50</f>
        <v>1185</v>
      </c>
      <c r="P64" s="76">
        <f>+'5.1. Séreignard.'!O46-'5.1. Séreignard.'!O48+'5.1. Séreignard.'!O50</f>
        <v>0</v>
      </c>
      <c r="Q64" s="76">
        <f>+'5.1. Séreignard.'!P46-'5.1. Séreignard.'!P48+'5.1. Séreignard.'!P50</f>
        <v>6280</v>
      </c>
      <c r="R64" s="76">
        <f>+'5.1. Séreignard.'!Q46-'5.1. Séreignard.'!Q48+'5.1. Séreignard.'!Q50</f>
        <v>26989</v>
      </c>
      <c r="S64" s="76">
        <f>+'5.1. Séreignard.'!R46-'5.1. Séreignard.'!R48+'5.1. Séreignard.'!R50</f>
        <v>1750</v>
      </c>
      <c r="T64" s="76">
        <f>+'5.1. Séreignard.'!S46-'5.1. Séreignard.'!S48+'5.1. Séreignard.'!S50</f>
        <v>0</v>
      </c>
      <c r="U64" s="76">
        <f>+'5.1. Séreignard.'!T46-'5.1. Séreignard.'!T48+'5.1. Séreignard.'!T50</f>
        <v>28486</v>
      </c>
      <c r="V64" s="76">
        <f>+'5.1. Séreignard.'!U46-'5.1. Séreignard.'!U48+'5.1. Séreignard.'!U50</f>
        <v>1106</v>
      </c>
      <c r="W64" s="76">
        <f>+'5.1. Séreignard.'!V46-'5.1. Séreignard.'!V48+'5.1. Séreignard.'!V50</f>
        <v>1194</v>
      </c>
      <c r="X64" s="76">
        <f>+'5.1. Séreignard.'!W46-'5.1. Séreignard.'!W48+'5.1. Séreignard.'!W50</f>
        <v>171</v>
      </c>
      <c r="Y64" s="76">
        <f>+'5.1. Séreignard.'!X46-'5.1. Séreignard.'!X48+'5.1. Séreignard.'!X50</f>
        <v>306</v>
      </c>
      <c r="Z64" s="76">
        <f>+'5.1. Séreignard.'!Y46-'5.1. Séreignard.'!Y48+'5.1. Séreignard.'!Y50</f>
        <v>5136</v>
      </c>
      <c r="AA64" s="76">
        <f>+'5.1. Séreignard.'!Z46-'5.1. Séreignard.'!Z48+'5.1. Séreignard.'!Z50</f>
        <v>0</v>
      </c>
      <c r="AB64" s="76">
        <f>+'5.1. Séreignard.'!AA46-'5.1. Séreignard.'!AA48+'5.1. Séreignard.'!AA50</f>
        <v>212</v>
      </c>
      <c r="AC64" s="76">
        <f>+'5.1. Séreignard.'!AB46-'5.1. Séreignard.'!AB48+'5.1. Séreignard.'!AB50</f>
        <v>1331</v>
      </c>
      <c r="AD64" s="76">
        <f>+'5.1. Séreignard.'!AC46-'5.1. Séreignard.'!AC48+'5.1. Séreignard.'!AC50</f>
        <v>32</v>
      </c>
      <c r="AE64" s="76">
        <f>+'5.1. Séreignard.'!AD46-'5.1. Séreignard.'!AD48+'5.1. Séreignard.'!AD50</f>
        <v>74</v>
      </c>
      <c r="AF64" s="76">
        <f>+'5.1. Séreignard.'!AE46-'5.1. Séreignard.'!AE48+'5.1. Séreignard.'!AE50</f>
        <v>224.7</v>
      </c>
      <c r="AG64" s="76">
        <f>+'5.1. Séreignard.'!AF46-'5.1. Séreignard.'!AF48+'5.1. Séreignard.'!AF50</f>
        <v>9174.93</v>
      </c>
      <c r="AH64" s="76">
        <f>+'5.1. Séreignard.'!AG46-'5.1. Séreignard.'!AG48+'5.1. Séreignard.'!AG50</f>
        <v>15313.549</v>
      </c>
      <c r="AI64" s="76">
        <f>+'5.1. Séreignard.'!AH46-'5.1. Séreignard.'!AH48+'5.1. Séreignard.'!AH50</f>
        <v>4086.573</v>
      </c>
      <c r="AJ64" s="76">
        <f>+'5.1. Séreignard.'!AI46-'5.1. Séreignard.'!AI48+'5.1. Séreignard.'!AI50</f>
        <v>0</v>
      </c>
      <c r="AK64" s="76">
        <f>+'5.1. Séreignard.'!AJ46-'5.1. Séreignard.'!AJ48+'5.1. Séreignard.'!AJ50</f>
        <v>0</v>
      </c>
      <c r="AL64" s="76">
        <f>+'5.1. Séreignard.'!AK46-'5.1. Séreignard.'!AK48+'5.1. Séreignard.'!AK50</f>
        <v>0</v>
      </c>
      <c r="AM64" s="76">
        <f>+'5.1. Séreignard.'!AL46-'5.1. Séreignard.'!AL48+'5.1. Séreignard.'!AL50</f>
        <v>966.495</v>
      </c>
      <c r="AN64" s="76">
        <f>+'5.1. Séreignard.'!AM46-'5.1. Séreignard.'!AM48+'5.1. Séreignard.'!AM50</f>
        <v>4695.579</v>
      </c>
      <c r="AO64" s="76">
        <f>+'5.1. Séreignard.'!AN46-'5.1. Séreignard.'!AN48+'5.1. Séreignard.'!AN50</f>
        <v>2765.121</v>
      </c>
      <c r="AP64" s="76">
        <f>+'5.1. Séreignard.'!AO46-'5.1. Séreignard.'!AO48+'5.1. Séreignard.'!AO50</f>
        <v>0</v>
      </c>
      <c r="AQ64" s="76">
        <f>+'5.1. Séreignard.'!AP46-'5.1. Séreignard.'!AP48+'5.1. Séreignard.'!AP50</f>
        <v>0</v>
      </c>
      <c r="AR64" s="76">
        <f>+'5.1. Séreignard.'!AQ46-'5.1. Séreignard.'!AQ48+'5.1. Séreignard.'!AQ50</f>
        <v>2295</v>
      </c>
      <c r="AS64" s="76"/>
      <c r="AT64" s="76">
        <f>+'5.1. Séreignard.'!AS46-'5.1. Séreignard.'!AS48+'5.1. Séreignard.'!AS50</f>
        <v>122997.94699999999</v>
      </c>
      <c r="AU64" s="30"/>
      <c r="AV64" s="30"/>
      <c r="AW64" s="30"/>
      <c r="AX64" s="59"/>
      <c r="AY64" s="59"/>
    </row>
    <row r="65" spans="1:51" ht="12.75">
      <c r="A65" s="30"/>
      <c r="B65" s="338"/>
      <c r="AS65" s="59"/>
      <c r="AT65" s="30"/>
      <c r="AU65" s="30"/>
      <c r="AV65" s="30"/>
      <c r="AW65" s="30"/>
      <c r="AX65" s="59"/>
      <c r="AY65" s="59"/>
    </row>
    <row r="66" spans="1:51" ht="12.75">
      <c r="A66" s="33" t="s">
        <v>325</v>
      </c>
      <c r="B66" s="338"/>
      <c r="C66" s="100">
        <f>+'5.1. Séreignard.'!B63+'5.1. Séreignard.'!B66-('5.2 Kennitölur (séreign)'!C63-'5.2 Kennitölur (séreign)'!C64)</f>
        <v>2684772</v>
      </c>
      <c r="D66" s="100">
        <f>+'5.1. Séreignard.'!C63+'5.1. Séreignard.'!C66-('5.2 Kennitölur (séreign)'!D63-'5.2 Kennitölur (séreign)'!D64)</f>
        <v>570611</v>
      </c>
      <c r="E66" s="100">
        <f>+'5.1. Séreignard.'!D63+'5.1. Séreignard.'!D66-('5.2 Kennitölur (séreign)'!E63-'5.2 Kennitölur (séreign)'!E64)</f>
        <v>275421.9</v>
      </c>
      <c r="F66" s="100">
        <f>+'5.1. Séreignard.'!E63+'5.1. Séreignard.'!E66-('5.2 Kennitölur (séreign)'!F63-'5.2 Kennitölur (séreign)'!F64)</f>
        <v>2778971</v>
      </c>
      <c r="G66" s="100">
        <f>+'5.1. Séreignard.'!F63+'5.1. Séreignard.'!F66-('5.2 Kennitölur (séreign)'!G63-'5.2 Kennitölur (séreign)'!G64)</f>
        <v>294981</v>
      </c>
      <c r="H66" s="100">
        <f>+'5.1. Séreignard.'!G63+'5.1. Séreignard.'!G66-('5.2 Kennitölur (séreign)'!H63-'5.2 Kennitölur (séreign)'!H64)</f>
        <v>517521</v>
      </c>
      <c r="I66" s="100">
        <f>+'5.1. Séreignard.'!H63+'5.1. Séreignard.'!H66-('5.2 Kennitölur (séreign)'!I63-'5.2 Kennitölur (séreign)'!I64)</f>
        <v>154802</v>
      </c>
      <c r="J66" s="100">
        <f>+'5.1. Séreignard.'!I63+'5.1. Séreignard.'!I66-('5.2 Kennitölur (séreign)'!J63-'5.2 Kennitölur (séreign)'!J64)</f>
        <v>9383</v>
      </c>
      <c r="K66" s="100">
        <f>+'5.1. Séreignard.'!J63+'5.1. Séreignard.'!J66-('5.2 Kennitölur (séreign)'!K63-'5.2 Kennitölur (séreign)'!K64)</f>
        <v>20916</v>
      </c>
      <c r="L66" s="100">
        <f>+'5.1. Séreignard.'!K63+'5.1. Séreignard.'!K66-('5.2 Kennitölur (séreign)'!L63-'5.2 Kennitölur (séreign)'!L64)</f>
        <v>293551</v>
      </c>
      <c r="M66" s="100">
        <f>+'5.1. Séreignard.'!L63+'5.1. Séreignard.'!L66-('5.2 Kennitölur (séreign)'!M63-'5.2 Kennitölur (séreign)'!M64)</f>
        <v>1227918</v>
      </c>
      <c r="N66" s="100">
        <f>+'5.1. Séreignard.'!M63+'5.1. Séreignard.'!M66-('5.2 Kennitölur (séreign)'!N63-'5.2 Kennitölur (séreign)'!N64)</f>
        <v>297597</v>
      </c>
      <c r="O66" s="100">
        <f>+'5.1. Séreignard.'!N63+'5.1. Séreignard.'!N66-('5.2 Kennitölur (séreign)'!O63-'5.2 Kennitölur (séreign)'!O64)</f>
        <v>749866</v>
      </c>
      <c r="P66" s="100">
        <f>+'5.1. Séreignard.'!O63+'5.1. Séreignard.'!O66-('5.2 Kennitölur (séreign)'!P63-'5.2 Kennitölur (séreign)'!P64)</f>
        <v>190553</v>
      </c>
      <c r="Q66" s="100">
        <f>+'5.1. Séreignard.'!P63+'5.1. Séreignard.'!P66-('5.2 Kennitölur (séreign)'!Q63-'5.2 Kennitölur (séreign)'!Q64)</f>
        <v>6062315</v>
      </c>
      <c r="R66" s="100">
        <f>+'5.1. Séreignard.'!Q63+'5.1. Séreignard.'!Q66-('5.2 Kennitölur (séreign)'!R63-'5.2 Kennitölur (séreign)'!R64)</f>
        <v>26281344</v>
      </c>
      <c r="S66" s="100">
        <f>+'5.1. Séreignard.'!R63+'5.1. Séreignard.'!R66-('5.2 Kennitölur (séreign)'!S63-'5.2 Kennitölur (séreign)'!S64)</f>
        <v>1647626</v>
      </c>
      <c r="T66" s="100">
        <f>+'5.1. Séreignard.'!S63+'5.1. Séreignard.'!S66-('5.2 Kennitölur (séreign)'!T63-'5.2 Kennitölur (séreign)'!T64)</f>
        <v>750313</v>
      </c>
      <c r="U66" s="100">
        <f>+'5.1. Séreignard.'!T63+'5.1. Séreignard.'!T66-('5.2 Kennitölur (séreign)'!U63-'5.2 Kennitölur (séreign)'!U64)</f>
        <v>31559502</v>
      </c>
      <c r="V66" s="100">
        <f>+'5.1. Séreignard.'!U63+'5.1. Séreignard.'!U66-('5.2 Kennitölur (séreign)'!V63-'5.2 Kennitölur (séreign)'!V64)</f>
        <v>1328784</v>
      </c>
      <c r="W66" s="100">
        <f>+'5.1. Séreignard.'!V63+'5.1. Séreignard.'!V66-('5.2 Kennitölur (séreign)'!W63-'5.2 Kennitölur (séreign)'!W64)</f>
        <v>4348896</v>
      </c>
      <c r="X66" s="100">
        <f>+'5.1. Séreignard.'!W63+'5.1. Séreignard.'!W66-('5.2 Kennitölur (séreign)'!X63-'5.2 Kennitölur (séreign)'!X64)</f>
        <v>249985</v>
      </c>
      <c r="Y66" s="100">
        <f>+'5.1. Séreignard.'!X63+'5.1. Séreignard.'!X66-('5.2 Kennitölur (séreign)'!Y63-'5.2 Kennitölur (séreign)'!Y64)</f>
        <v>310060</v>
      </c>
      <c r="Z66" s="100">
        <f>+'5.1. Séreignard.'!Y63+'5.1. Séreignard.'!Y66-('5.2 Kennitölur (séreign)'!Z63-'5.2 Kennitölur (séreign)'!Z64)</f>
        <v>1722702</v>
      </c>
      <c r="AA66" s="100">
        <f>+'5.1. Séreignard.'!Z63+'5.1. Séreignard.'!Z66-('5.2 Kennitölur (séreign)'!AA63-'5.2 Kennitölur (séreign)'!AA64)</f>
        <v>35225</v>
      </c>
      <c r="AB66" s="100">
        <f>+'5.1. Séreignard.'!AA63+'5.1. Séreignard.'!AA66-('5.2 Kennitölur (séreign)'!AB63-'5.2 Kennitölur (séreign)'!AB64)</f>
        <v>139048</v>
      </c>
      <c r="AC66" s="100">
        <f>+'5.1. Séreignard.'!AB63+'5.1. Séreignard.'!AB66-('5.2 Kennitölur (séreign)'!AC63-'5.2 Kennitölur (séreign)'!AC64)</f>
        <v>867942</v>
      </c>
      <c r="AD66" s="100">
        <f>+'5.1. Séreignard.'!AC63+'5.1. Séreignard.'!AC66-('5.2 Kennitölur (séreign)'!AD63-'5.2 Kennitölur (séreign)'!AD64)</f>
        <v>20995</v>
      </c>
      <c r="AE66" s="100">
        <f>+'5.1. Séreignard.'!AD63+'5.1. Séreignard.'!AD66-('5.2 Kennitölur (séreign)'!AE63-'5.2 Kennitölur (séreign)'!AE64)</f>
        <v>54448</v>
      </c>
      <c r="AF66" s="100">
        <f>+'5.1. Séreignard.'!AE63+'5.1. Séreignard.'!AE66-('5.2 Kennitölur (séreign)'!AF63-'5.2 Kennitölur (séreign)'!AF64)</f>
        <v>51946</v>
      </c>
      <c r="AG66" s="100">
        <f>+'5.1. Séreignard.'!AF63+'5.1. Séreignard.'!AF66-('5.2 Kennitölur (séreign)'!AG63-'5.2 Kennitölur (séreign)'!AG64)</f>
        <v>4265171.827</v>
      </c>
      <c r="AH66" s="100">
        <f>+'5.1. Séreignard.'!AG63+'5.1. Séreignard.'!AG66-('5.2 Kennitölur (séreign)'!AH63-'5.2 Kennitölur (séreign)'!AH64)</f>
        <v>5720840.796000001</v>
      </c>
      <c r="AI66" s="100">
        <f>+'5.1. Séreignard.'!AH63+'5.1. Séreignard.'!AH66-('5.2 Kennitölur (séreign)'!AI63-'5.2 Kennitölur (séreign)'!AI64)</f>
        <v>1586044.897</v>
      </c>
      <c r="AJ66" s="100">
        <f>+'5.1. Séreignard.'!AI63+'5.1. Séreignard.'!AI66-('5.2 Kennitölur (séreign)'!AJ63-'5.2 Kennitölur (séreign)'!AJ64)</f>
        <v>356662</v>
      </c>
      <c r="AK66" s="100">
        <f>+'5.1. Séreignard.'!AJ63+'5.1. Séreignard.'!AJ66-('5.2 Kennitölur (séreign)'!AK63-'5.2 Kennitölur (séreign)'!AK64)</f>
        <v>54126</v>
      </c>
      <c r="AL66" s="100">
        <f>+'5.1. Séreignard.'!AK63+'5.1. Séreignard.'!AK66-('5.2 Kennitölur (séreign)'!AL63-'5.2 Kennitölur (séreign)'!AL64)</f>
        <v>34515</v>
      </c>
      <c r="AM66" s="100">
        <f>+'5.1. Séreignard.'!AL63+'5.1. Séreignard.'!AL66-('5.2 Kennitölur (séreign)'!AM63-'5.2 Kennitölur (séreign)'!AM64)</f>
        <v>858691.154</v>
      </c>
      <c r="AN66" s="100">
        <f>+'5.1. Séreignard.'!AM63+'5.1. Séreignard.'!AM66-('5.2 Kennitölur (séreign)'!AN63-'5.2 Kennitölur (séreign)'!AN64)</f>
        <v>4119557.668</v>
      </c>
      <c r="AO66" s="100">
        <f>+'5.1. Séreignard.'!AN63+'5.1. Séreignard.'!AN66-('5.2 Kennitölur (séreign)'!AO63-'5.2 Kennitölur (séreign)'!AO64)</f>
        <v>2523360.2830000003</v>
      </c>
      <c r="AP66" s="100">
        <f>+'5.1. Séreignard.'!AO63+'5.1. Séreignard.'!AO66-('5.2 Kennitölur (séreign)'!AP63-'5.2 Kennitölur (séreign)'!AP64)</f>
        <v>396443.928</v>
      </c>
      <c r="AQ66" s="100">
        <f>+'5.1. Séreignard.'!AP63+'5.1. Séreignard.'!AP66-('5.2 Kennitölur (séreign)'!AQ63-'5.2 Kennitölur (séreign)'!AQ64)</f>
        <v>10003</v>
      </c>
      <c r="AR66" s="100">
        <f>+'5.1. Séreignard.'!AQ63+'5.1. Séreignard.'!AQ66-('5.2 Kennitölur (séreign)'!AR63-'5.2 Kennitölur (séreign)'!AR64)</f>
        <v>2488083</v>
      </c>
      <c r="AS66" s="100"/>
      <c r="AT66" s="100">
        <f>+'5.1. Séreignard.'!AS63+'5.1. Séreignard.'!AS66-('5.2 Kennitölur (séreign)'!AT63-'5.2 Kennitölur (séreign)'!AT64)</f>
        <v>107911494.453</v>
      </c>
      <c r="AU66" s="100"/>
      <c r="AV66" s="100"/>
      <c r="AW66" s="30"/>
      <c r="AX66" s="59"/>
      <c r="AY66" s="59"/>
    </row>
    <row r="67" spans="1:51" ht="12.75">
      <c r="A67" s="33" t="s">
        <v>437</v>
      </c>
      <c r="B67" s="338"/>
      <c r="AS67" s="59"/>
      <c r="AT67" s="30"/>
      <c r="AU67" s="30"/>
      <c r="AV67" s="30"/>
      <c r="AW67" s="30"/>
      <c r="AX67" s="59"/>
      <c r="AY67" s="59"/>
    </row>
    <row r="68" spans="1:51" ht="12.75">
      <c r="A68" s="33" t="s">
        <v>326</v>
      </c>
      <c r="B68" s="338"/>
      <c r="C68" s="61">
        <f aca="true" t="shared" si="4" ref="C68:AR68">(2*(C63-C64))/C66</f>
        <v>0.15792625966003818</v>
      </c>
      <c r="D68" s="61">
        <f t="shared" si="4"/>
        <v>0.11378680046476496</v>
      </c>
      <c r="E68" s="61">
        <f t="shared" si="4"/>
        <v>0.0958747289158923</v>
      </c>
      <c r="F68" s="61">
        <f t="shared" si="4"/>
        <v>0.15299547926192825</v>
      </c>
      <c r="G68" s="61">
        <f t="shared" si="4"/>
        <v>0.2725124669046481</v>
      </c>
      <c r="H68" s="61">
        <f t="shared" si="4"/>
        <v>0.22368947347064178</v>
      </c>
      <c r="I68" s="61">
        <f t="shared" si="4"/>
        <v>0.16035968527538405</v>
      </c>
      <c r="J68" s="61">
        <f t="shared" si="4"/>
        <v>0.12661195779601406</v>
      </c>
      <c r="K68" s="61">
        <f t="shared" si="4"/>
        <v>0.076592082616179</v>
      </c>
      <c r="L68" s="61">
        <f t="shared" si="4"/>
        <v>0.13546538761578056</v>
      </c>
      <c r="M68" s="61">
        <f t="shared" si="4"/>
        <v>0.09824923162621609</v>
      </c>
      <c r="N68" s="61">
        <f t="shared" si="4"/>
        <v>0.17709183896343042</v>
      </c>
      <c r="O68" s="61">
        <f t="shared" si="4"/>
        <v>0.213795531468289</v>
      </c>
      <c r="P68" s="61">
        <f t="shared" si="4"/>
        <v>0.1358362240426548</v>
      </c>
      <c r="Q68" s="61">
        <f t="shared" si="4"/>
        <v>0.15715019757303933</v>
      </c>
      <c r="R68" s="61">
        <f t="shared" si="4"/>
        <v>0.1652263293688481</v>
      </c>
      <c r="S68" s="61">
        <f t="shared" si="4"/>
        <v>0.13440064674871602</v>
      </c>
      <c r="T68" s="61">
        <f t="shared" si="4"/>
        <v>0.10079260255386752</v>
      </c>
      <c r="U68" s="61">
        <f t="shared" si="4"/>
        <v>0.18741316006824188</v>
      </c>
      <c r="V68" s="61">
        <f t="shared" si="4"/>
        <v>0.15778636708449228</v>
      </c>
      <c r="W68" s="61">
        <f t="shared" si="4"/>
        <v>0.09820745310993871</v>
      </c>
      <c r="X68" s="61">
        <f t="shared" si="4"/>
        <v>0.10056603396203773</v>
      </c>
      <c r="Y68" s="61">
        <f t="shared" si="4"/>
        <v>0.12690447010256078</v>
      </c>
      <c r="Z68" s="61">
        <f t="shared" si="4"/>
        <v>0.14843077909005736</v>
      </c>
      <c r="AA68" s="61">
        <f t="shared" si="4"/>
        <v>0.11855216465578425</v>
      </c>
      <c r="AB68" s="61">
        <f t="shared" si="4"/>
        <v>0.2453541223174731</v>
      </c>
      <c r="AC68" s="61">
        <f t="shared" si="4"/>
        <v>0.10877915805434003</v>
      </c>
      <c r="AD68" s="61">
        <f t="shared" si="4"/>
        <v>0.20766849249821387</v>
      </c>
      <c r="AE68" s="61">
        <f t="shared" si="4"/>
        <v>0.26153394064061125</v>
      </c>
      <c r="AF68" s="61">
        <f t="shared" si="4"/>
        <v>0.11078042582682017</v>
      </c>
      <c r="AG68" s="61">
        <f t="shared" si="4"/>
        <v>0.17887213480367956</v>
      </c>
      <c r="AH68" s="61">
        <f t="shared" si="4"/>
        <v>0.16254699600278824</v>
      </c>
      <c r="AI68" s="61">
        <f t="shared" si="4"/>
        <v>0.11687475830641633</v>
      </c>
      <c r="AJ68" s="61">
        <f t="shared" si="4"/>
        <v>0.16271427850457856</v>
      </c>
      <c r="AK68" s="61">
        <f t="shared" si="4"/>
        <v>0.13335550382440972</v>
      </c>
      <c r="AL68" s="61">
        <f t="shared" si="4"/>
        <v>0.09966681153121831</v>
      </c>
      <c r="AM68" s="61">
        <f t="shared" si="4"/>
        <v>0.11340484823487537</v>
      </c>
      <c r="AN68" s="61">
        <f t="shared" si="4"/>
        <v>0.1499491682804621</v>
      </c>
      <c r="AO68" s="61">
        <f t="shared" si="4"/>
        <v>0.1561736699491358</v>
      </c>
      <c r="AP68" s="61">
        <f t="shared" si="4"/>
        <v>0.10387899294550426</v>
      </c>
      <c r="AQ68" s="61">
        <f t="shared" si="4"/>
        <v>0.10436868939318204</v>
      </c>
      <c r="AR68" s="61">
        <f t="shared" si="4"/>
        <v>0.16342541627429633</v>
      </c>
      <c r="AS68" s="61"/>
      <c r="AT68" s="61">
        <f>(2*(AT63-AT64))/AT66</f>
        <v>0.16392412872851495</v>
      </c>
      <c r="AU68" s="75"/>
      <c r="AV68" s="75"/>
      <c r="AW68" s="75"/>
      <c r="AX68" s="65"/>
      <c r="AY68" s="59"/>
    </row>
    <row r="69" spans="1:51" ht="12.75">
      <c r="A69" s="102" t="s">
        <v>438</v>
      </c>
      <c r="B69" s="338"/>
      <c r="C69" s="61">
        <v>0.027</v>
      </c>
      <c r="D69" s="61">
        <v>0.027</v>
      </c>
      <c r="E69" s="61">
        <v>0.027</v>
      </c>
      <c r="F69" s="61">
        <v>0.027</v>
      </c>
      <c r="G69" s="61">
        <v>0.027</v>
      </c>
      <c r="H69" s="61">
        <v>0.027</v>
      </c>
      <c r="I69" s="61">
        <v>0.027</v>
      </c>
      <c r="J69" s="61">
        <v>0.027</v>
      </c>
      <c r="K69" s="61">
        <v>0.027</v>
      </c>
      <c r="L69" s="61">
        <v>0.027</v>
      </c>
      <c r="M69" s="61">
        <v>0.027</v>
      </c>
      <c r="N69" s="61">
        <v>0.027</v>
      </c>
      <c r="O69" s="61">
        <v>0.027</v>
      </c>
      <c r="P69" s="61">
        <v>0.027</v>
      </c>
      <c r="Q69" s="61">
        <v>0.027</v>
      </c>
      <c r="R69" s="61">
        <v>0.027</v>
      </c>
      <c r="S69" s="61">
        <v>0.027</v>
      </c>
      <c r="T69" s="61">
        <v>0.027</v>
      </c>
      <c r="U69" s="61">
        <v>0.027</v>
      </c>
      <c r="V69" s="61">
        <v>0.027</v>
      </c>
      <c r="W69" s="61">
        <v>0.027</v>
      </c>
      <c r="X69" s="61">
        <v>0.027</v>
      </c>
      <c r="Y69" s="61">
        <v>0.027</v>
      </c>
      <c r="Z69" s="61">
        <v>0.027</v>
      </c>
      <c r="AA69" s="61">
        <v>0.027</v>
      </c>
      <c r="AB69" s="61">
        <v>0.027</v>
      </c>
      <c r="AC69" s="61">
        <v>0.027</v>
      </c>
      <c r="AD69" s="61">
        <v>0.027</v>
      </c>
      <c r="AE69" s="61">
        <v>0.027</v>
      </c>
      <c r="AF69" s="61">
        <v>0.027</v>
      </c>
      <c r="AG69" s="61">
        <v>0.027</v>
      </c>
      <c r="AH69" s="61">
        <v>0.027</v>
      </c>
      <c r="AI69" s="61">
        <v>0.027</v>
      </c>
      <c r="AJ69" s="61">
        <v>0.027</v>
      </c>
      <c r="AK69" s="61">
        <v>0.027</v>
      </c>
      <c r="AL69" s="61">
        <v>0.027</v>
      </c>
      <c r="AM69" s="61">
        <v>0.027</v>
      </c>
      <c r="AN69" s="61">
        <v>0.027</v>
      </c>
      <c r="AO69" s="61">
        <v>0.027</v>
      </c>
      <c r="AP69" s="61">
        <v>0.027</v>
      </c>
      <c r="AQ69" s="61">
        <v>0.027</v>
      </c>
      <c r="AR69" s="61">
        <v>0.027</v>
      </c>
      <c r="AS69" s="61"/>
      <c r="AT69" s="61">
        <v>0.027</v>
      </c>
      <c r="AU69" s="75"/>
      <c r="AV69" s="75"/>
      <c r="AW69" s="75"/>
      <c r="AX69" s="59"/>
      <c r="AY69" s="59"/>
    </row>
    <row r="70" spans="1:51" ht="12.75">
      <c r="A70" s="41"/>
      <c r="B70" s="349"/>
      <c r="AS70" s="59"/>
      <c r="AT70" s="66"/>
      <c r="AU70" s="66"/>
      <c r="AV70" s="66"/>
      <c r="AW70" s="66"/>
      <c r="AX70" s="59"/>
      <c r="AY70" s="59"/>
    </row>
    <row r="71" spans="1:51" ht="12.75">
      <c r="A71" s="102" t="s">
        <v>439</v>
      </c>
      <c r="B71" s="338"/>
      <c r="C71" s="61">
        <f aca="true" t="shared" si="5" ref="C71:AT71">+(1+C68)/(1+C69)-1</f>
        <v>0.12748418662126415</v>
      </c>
      <c r="D71" s="61">
        <f t="shared" si="5"/>
        <v>0.08450516111466899</v>
      </c>
      <c r="E71" s="61">
        <f t="shared" si="5"/>
        <v>0.06706400089181352</v>
      </c>
      <c r="F71" s="61">
        <f t="shared" si="5"/>
        <v>0.1226830372560157</v>
      </c>
      <c r="G71" s="61">
        <f t="shared" si="5"/>
        <v>0.23905790350988143</v>
      </c>
      <c r="H71" s="61">
        <f t="shared" si="5"/>
        <v>0.19151847465495808</v>
      </c>
      <c r="I71" s="61">
        <f t="shared" si="5"/>
        <v>0.12985363707437614</v>
      </c>
      <c r="J71" s="61">
        <f t="shared" si="5"/>
        <v>0.09699314293672257</v>
      </c>
      <c r="K71" s="61">
        <f t="shared" si="5"/>
        <v>0.0482882985551889</v>
      </c>
      <c r="L71" s="61">
        <f t="shared" si="5"/>
        <v>0.10561381462101327</v>
      </c>
      <c r="M71" s="61">
        <f t="shared" si="5"/>
        <v>0.06937607753282982</v>
      </c>
      <c r="N71" s="61">
        <f t="shared" si="5"/>
        <v>0.14614589967227887</v>
      </c>
      <c r="O71" s="61">
        <f t="shared" si="5"/>
        <v>0.18188464602559806</v>
      </c>
      <c r="P71" s="61">
        <f t="shared" si="5"/>
        <v>0.1059749016968401</v>
      </c>
      <c r="Q71" s="61">
        <f>+(1+Q68)/(1+Q69)-1</f>
        <v>0.12672852733499473</v>
      </c>
      <c r="R71" s="61">
        <f>+(1+R68)/(1+R69)-1</f>
        <v>0.134592336289044</v>
      </c>
      <c r="S71" s="61">
        <f>+(1+S68)/(1+S69)-1</f>
        <v>0.10457706596759109</v>
      </c>
      <c r="T71" s="61">
        <f>+(1+T68)/(1+T69)-1</f>
        <v>0.07185258281778739</v>
      </c>
      <c r="U71" s="61">
        <f t="shared" si="5"/>
        <v>0.15619587153674974</v>
      </c>
      <c r="V71" s="61">
        <f t="shared" si="5"/>
        <v>0.12734797184468594</v>
      </c>
      <c r="W71" s="61">
        <f t="shared" si="5"/>
        <v>0.06933539738066097</v>
      </c>
      <c r="X71" s="61">
        <f t="shared" si="5"/>
        <v>0.07163197075174077</v>
      </c>
      <c r="Y71" s="61">
        <f t="shared" si="5"/>
        <v>0.09727796504631048</v>
      </c>
      <c r="Z71" s="61">
        <f t="shared" si="5"/>
        <v>0.11823834380726139</v>
      </c>
      <c r="AA71" s="61">
        <f t="shared" si="5"/>
        <v>0.08914524309229255</v>
      </c>
      <c r="AB71" s="61">
        <f t="shared" si="5"/>
        <v>0.21261355629744227</v>
      </c>
      <c r="AC71" s="61">
        <f t="shared" si="5"/>
        <v>0.07962917045213258</v>
      </c>
      <c r="AD71" s="61">
        <f t="shared" si="5"/>
        <v>0.17591868792425913</v>
      </c>
      <c r="AE71" s="61">
        <f t="shared" si="5"/>
        <v>0.22836800451860895</v>
      </c>
      <c r="AF71" s="61">
        <f t="shared" si="5"/>
        <v>0.08157782456360296</v>
      </c>
      <c r="AG71" s="61">
        <f t="shared" si="5"/>
        <v>0.14787939124019434</v>
      </c>
      <c r="AH71" s="61">
        <f t="shared" si="5"/>
        <v>0.13198344304068987</v>
      </c>
      <c r="AI71" s="61">
        <f t="shared" si="5"/>
        <v>0.08751193603351148</v>
      </c>
      <c r="AJ71" s="61">
        <f t="shared" si="5"/>
        <v>0.13214632765781764</v>
      </c>
      <c r="AK71" s="61">
        <f t="shared" si="5"/>
        <v>0.10355940002376807</v>
      </c>
      <c r="AL71" s="61">
        <f t="shared" si="5"/>
        <v>0.0707563890274765</v>
      </c>
      <c r="AM71" s="61">
        <f t="shared" si="5"/>
        <v>0.08413325047212794</v>
      </c>
      <c r="AN71" s="61">
        <f t="shared" si="5"/>
        <v>0.11971681429451042</v>
      </c>
      <c r="AO71" s="61">
        <f t="shared" si="5"/>
        <v>0.12577767278396879</v>
      </c>
      <c r="AP71" s="61">
        <f t="shared" si="5"/>
        <v>0.07485783149513558</v>
      </c>
      <c r="AQ71" s="61">
        <f t="shared" si="5"/>
        <v>0.07533465374214421</v>
      </c>
      <c r="AR71" s="61">
        <f t="shared" si="5"/>
        <v>0.13283876949785434</v>
      </c>
      <c r="AS71" s="61"/>
      <c r="AT71" s="61">
        <f t="shared" si="5"/>
        <v>0.13332437071909942</v>
      </c>
      <c r="AU71" s="75"/>
      <c r="AV71" s="75"/>
      <c r="AW71" s="75"/>
      <c r="AX71" s="59"/>
      <c r="AY71" s="59"/>
    </row>
    <row r="72" spans="16:50" ht="12.75">
      <c r="P72" s="59"/>
      <c r="X72" s="59"/>
      <c r="Y72" s="59"/>
      <c r="AD72" s="59"/>
      <c r="AE72" s="59"/>
      <c r="AJ72" s="33"/>
      <c r="AK72" s="33"/>
      <c r="AL72" s="33"/>
      <c r="AM72" s="59"/>
      <c r="AN72" s="59"/>
      <c r="AO72" s="59"/>
      <c r="AP72" s="59"/>
      <c r="AR72" s="59"/>
      <c r="AS72" s="59"/>
      <c r="AT72" s="30"/>
      <c r="AU72" s="30"/>
      <c r="AV72" s="30"/>
      <c r="AW72" s="30"/>
      <c r="AX72" s="59"/>
    </row>
    <row r="73" spans="1:50" ht="12.75">
      <c r="A73" s="37" t="s">
        <v>279</v>
      </c>
      <c r="B73" s="338"/>
      <c r="P73" s="59"/>
      <c r="X73" s="59"/>
      <c r="Y73" s="59"/>
      <c r="AD73" s="59"/>
      <c r="AE73" s="59"/>
      <c r="AJ73" s="33"/>
      <c r="AK73" s="33"/>
      <c r="AL73" s="33"/>
      <c r="AM73" s="59"/>
      <c r="AN73" s="59"/>
      <c r="AO73" s="59"/>
      <c r="AP73" s="59"/>
      <c r="AR73" s="59"/>
      <c r="AS73" s="59"/>
      <c r="AT73" s="30"/>
      <c r="AU73" s="30"/>
      <c r="AV73" s="30"/>
      <c r="AW73" s="30"/>
      <c r="AX73" s="59"/>
    </row>
    <row r="74" spans="1:51" ht="12.75">
      <c r="A74" s="104" t="s">
        <v>365</v>
      </c>
      <c r="B74" s="345"/>
      <c r="C74" s="16">
        <f>+'5.1. Séreignard.'!B21</f>
        <v>10688</v>
      </c>
      <c r="D74" s="16">
        <f>+'5.1. Séreignard.'!C21</f>
        <v>2381</v>
      </c>
      <c r="E74" s="16">
        <f>+'5.1. Séreignard.'!D21</f>
        <v>4702</v>
      </c>
      <c r="F74" s="16">
        <f>+'5.1. Séreignard.'!E21</f>
        <v>16804</v>
      </c>
      <c r="G74" s="16">
        <f>+'5.1. Séreignard.'!F21</f>
        <v>1397</v>
      </c>
      <c r="H74" s="16">
        <f>+'5.1. Séreignard.'!G21</f>
        <v>2365</v>
      </c>
      <c r="I74" s="16">
        <f>+'5.1. Séreignard.'!H21</f>
        <v>622</v>
      </c>
      <c r="J74" s="16">
        <f>+'5.1. Séreignard.'!I21</f>
        <v>7</v>
      </c>
      <c r="K74" s="16">
        <f>+'5.1. Séreignard.'!J21</f>
        <v>0</v>
      </c>
      <c r="L74" s="16">
        <f>+'5.1. Séreignard.'!K21</f>
        <v>573</v>
      </c>
      <c r="M74" s="16">
        <f>+'5.1. Séreignard.'!L21</f>
        <v>8169</v>
      </c>
      <c r="N74" s="16">
        <f>+'5.1. Séreignard.'!M21</f>
        <v>5162</v>
      </c>
      <c r="O74" s="16">
        <f>+'5.1. Séreignard.'!N21</f>
        <v>1104</v>
      </c>
      <c r="P74" s="16">
        <f>+'5.1. Séreignard.'!O21</f>
        <v>758</v>
      </c>
      <c r="Q74" s="16">
        <f>+'5.1. Séreignard.'!P21</f>
        <v>4738</v>
      </c>
      <c r="R74" s="16">
        <f>+'5.1. Séreignard.'!Q21</f>
        <v>92608</v>
      </c>
      <c r="S74" s="16">
        <f>+'5.1. Séreignard.'!R21</f>
        <v>50829</v>
      </c>
      <c r="T74" s="16">
        <f>+'5.1. Séreignard.'!S21</f>
        <v>25550</v>
      </c>
      <c r="U74" s="16">
        <f>+'5.1. Séreignard.'!T21</f>
        <v>156622</v>
      </c>
      <c r="V74" s="16">
        <f>+'5.1. Séreignard.'!U21</f>
        <v>11904</v>
      </c>
      <c r="W74" s="16">
        <f>+'5.1. Séreignard.'!V21</f>
        <v>123386</v>
      </c>
      <c r="X74" s="16">
        <f>+'5.1. Séreignard.'!W21</f>
        <v>0</v>
      </c>
      <c r="Y74" s="16">
        <f>+'5.1. Séreignard.'!X21</f>
        <v>0</v>
      </c>
      <c r="Z74" s="16">
        <f>+'5.1. Séreignard.'!Y21</f>
        <v>23705</v>
      </c>
      <c r="AA74" s="16">
        <f>+'5.1. Séreignard.'!Z21</f>
        <v>0</v>
      </c>
      <c r="AB74" s="16">
        <f>+'5.1. Séreignard.'!AA21</f>
        <v>1890</v>
      </c>
      <c r="AC74" s="16">
        <f>+'5.1. Séreignard.'!AB21</f>
        <v>2004</v>
      </c>
      <c r="AD74" s="16">
        <f>+'5.1. Séreignard.'!AC21</f>
        <v>0</v>
      </c>
      <c r="AE74" s="16">
        <f>+'5.1. Séreignard.'!AD21</f>
        <v>0</v>
      </c>
      <c r="AF74" s="16">
        <f>+'5.1. Séreignard.'!AE21</f>
        <v>0</v>
      </c>
      <c r="AG74" s="16">
        <f>+'5.1. Séreignard.'!AF21</f>
        <v>4393.854</v>
      </c>
      <c r="AH74" s="16">
        <f>+'5.1. Séreignard.'!AG21</f>
        <v>16059.762</v>
      </c>
      <c r="AI74" s="16">
        <f>+'5.1. Séreignard.'!AH21</f>
        <v>65915.121</v>
      </c>
      <c r="AJ74" s="16">
        <f>+'5.1. Séreignard.'!AI21</f>
        <v>3686</v>
      </c>
      <c r="AK74" s="16">
        <f>+'5.1. Séreignard.'!AJ21</f>
        <v>324</v>
      </c>
      <c r="AL74" s="16">
        <f>+'5.1. Séreignard.'!AK21</f>
        <v>956</v>
      </c>
      <c r="AM74" s="16">
        <f>+'5.1. Séreignard.'!AL21</f>
        <v>23021.711</v>
      </c>
      <c r="AN74" s="16">
        <f>+'5.1. Séreignard.'!AM21</f>
        <v>4112.394</v>
      </c>
      <c r="AO74" s="16">
        <f>+'5.1. Séreignard.'!AN21</f>
        <v>634.0980000000001</v>
      </c>
      <c r="AP74" s="16">
        <f>+'5.1. Séreignard.'!AO21</f>
        <v>13386.504</v>
      </c>
      <c r="AQ74" s="16">
        <f>+'5.1. Séreignard.'!AP21</f>
        <v>0</v>
      </c>
      <c r="AR74" s="16">
        <f>+'5.1. Séreignard.'!AQ21</f>
        <v>32995</v>
      </c>
      <c r="AS74" s="16"/>
      <c r="AT74" s="16">
        <f>SUM(C74:AR74)</f>
        <v>713452.444</v>
      </c>
      <c r="AU74" s="16"/>
      <c r="AV74" s="16"/>
      <c r="AW74" s="16"/>
      <c r="AX74" s="16"/>
      <c r="AY74" s="16"/>
    </row>
    <row r="75" spans="1:51" ht="12.75">
      <c r="A75" s="104"/>
      <c r="B75" s="345"/>
      <c r="C75" s="16"/>
      <c r="D75" s="16"/>
      <c r="E75" s="16"/>
      <c r="F75" s="16"/>
      <c r="G75" s="16"/>
      <c r="H75" s="30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30"/>
      <c r="AK75" s="30"/>
      <c r="AL75" s="30"/>
      <c r="AM75" s="16"/>
      <c r="AN75" s="16"/>
      <c r="AO75" s="16"/>
      <c r="AP75" s="16"/>
      <c r="AQ75" s="16"/>
      <c r="AR75" s="16"/>
      <c r="AT75" s="16"/>
      <c r="AU75" s="30"/>
      <c r="AV75" s="30"/>
      <c r="AW75" s="30"/>
      <c r="AX75" s="16"/>
      <c r="AY75" s="16"/>
    </row>
    <row r="76" spans="1:51" ht="12.75">
      <c r="A76" s="33" t="s">
        <v>366</v>
      </c>
      <c r="B76" s="345"/>
      <c r="C76" s="16">
        <f>+C74*(C22/100)</f>
        <v>9832.960000000001</v>
      </c>
      <c r="D76" s="16">
        <f aca="true" t="shared" si="6" ref="D76:K76">+D74*(D22/100)</f>
        <v>1885.7520000000002</v>
      </c>
      <c r="E76" s="16">
        <f t="shared" si="6"/>
        <v>4702</v>
      </c>
      <c r="F76" s="16">
        <f t="shared" si="6"/>
        <v>16804</v>
      </c>
      <c r="G76" s="16">
        <f t="shared" si="6"/>
        <v>1397</v>
      </c>
      <c r="H76" s="16">
        <f t="shared" si="6"/>
        <v>2365</v>
      </c>
      <c r="I76" s="16">
        <f t="shared" si="6"/>
        <v>622</v>
      </c>
      <c r="J76" s="16">
        <f t="shared" si="6"/>
        <v>0</v>
      </c>
      <c r="K76" s="16">
        <f t="shared" si="6"/>
        <v>0</v>
      </c>
      <c r="L76" s="16">
        <f aca="true" t="shared" si="7" ref="L76:AR76">+L74*(L22/100)</f>
        <v>573</v>
      </c>
      <c r="M76" s="16">
        <f t="shared" si="7"/>
        <v>8169</v>
      </c>
      <c r="N76" s="16">
        <f t="shared" si="7"/>
        <v>5074.246</v>
      </c>
      <c r="O76" s="16">
        <f t="shared" si="7"/>
        <v>0</v>
      </c>
      <c r="P76" s="16">
        <f t="shared" si="7"/>
        <v>758</v>
      </c>
      <c r="Q76" s="16">
        <f t="shared" si="7"/>
        <v>0</v>
      </c>
      <c r="R76" s="16">
        <f t="shared" si="7"/>
        <v>0</v>
      </c>
      <c r="S76" s="16">
        <f t="shared" si="7"/>
        <v>0</v>
      </c>
      <c r="T76" s="16">
        <f t="shared" si="7"/>
        <v>0</v>
      </c>
      <c r="U76" s="16">
        <f t="shared" si="7"/>
        <v>121731</v>
      </c>
      <c r="V76" s="16">
        <f t="shared" si="7"/>
        <v>11242</v>
      </c>
      <c r="W76" s="16">
        <f t="shared" si="7"/>
        <v>102955.00000000001</v>
      </c>
      <c r="X76" s="16">
        <f t="shared" si="7"/>
        <v>0</v>
      </c>
      <c r="Y76" s="16">
        <f t="shared" si="7"/>
        <v>0</v>
      </c>
      <c r="Z76" s="16">
        <f t="shared" si="7"/>
        <v>23705</v>
      </c>
      <c r="AA76" s="16">
        <f t="shared" si="7"/>
        <v>0</v>
      </c>
      <c r="AB76" s="16">
        <f t="shared" si="7"/>
        <v>1619.73</v>
      </c>
      <c r="AC76" s="16">
        <f t="shared" si="7"/>
        <v>2004</v>
      </c>
      <c r="AD76" s="16">
        <f t="shared" si="7"/>
        <v>0</v>
      </c>
      <c r="AE76" s="16">
        <f t="shared" si="7"/>
        <v>0</v>
      </c>
      <c r="AF76" s="16">
        <f t="shared" si="7"/>
        <v>0</v>
      </c>
      <c r="AG76" s="16">
        <f t="shared" si="7"/>
        <v>751.3490340000001</v>
      </c>
      <c r="AH76" s="16">
        <f t="shared" si="7"/>
        <v>15176.47509</v>
      </c>
      <c r="AI76" s="16">
        <f t="shared" si="7"/>
        <v>64992.309305999996</v>
      </c>
      <c r="AJ76" s="16">
        <f t="shared" si="7"/>
        <v>3686</v>
      </c>
      <c r="AK76" s="16">
        <f t="shared" si="7"/>
        <v>324</v>
      </c>
      <c r="AL76" s="16">
        <f t="shared" si="7"/>
        <v>956</v>
      </c>
      <c r="AM76" s="16">
        <f t="shared" si="7"/>
        <v>21640.408339999998</v>
      </c>
      <c r="AN76" s="16">
        <f t="shared" si="7"/>
        <v>1167.0974172</v>
      </c>
      <c r="AO76" s="16">
        <f t="shared" si="7"/>
        <v>179.38632420000002</v>
      </c>
      <c r="AP76" s="16">
        <f t="shared" si="7"/>
        <v>13386.504</v>
      </c>
      <c r="AQ76" s="16">
        <f t="shared" si="7"/>
        <v>0</v>
      </c>
      <c r="AR76" s="16">
        <f t="shared" si="7"/>
        <v>30810.731</v>
      </c>
      <c r="AS76" s="16"/>
      <c r="AT76" s="16">
        <f aca="true" t="shared" si="8" ref="AT76:AT100">SUM(C76:AR76)</f>
        <v>468509.9485114</v>
      </c>
      <c r="AU76" s="16"/>
      <c r="AV76" s="16"/>
      <c r="AW76" s="16"/>
      <c r="AX76" s="16"/>
      <c r="AY76" s="103"/>
    </row>
    <row r="77" spans="1:78" ht="12.75">
      <c r="A77" s="33" t="s">
        <v>367</v>
      </c>
      <c r="B77" s="345"/>
      <c r="C77" s="16">
        <f>+C74*(C23/100)</f>
        <v>32.064</v>
      </c>
      <c r="D77" s="16">
        <f aca="true" t="shared" si="9" ref="D77:K77">+D74*(D23/100)</f>
        <v>0</v>
      </c>
      <c r="E77" s="16">
        <f t="shared" si="9"/>
        <v>0</v>
      </c>
      <c r="F77" s="16">
        <f t="shared" si="9"/>
        <v>0</v>
      </c>
      <c r="G77" s="16">
        <f t="shared" si="9"/>
        <v>0</v>
      </c>
      <c r="H77" s="16">
        <f t="shared" si="9"/>
        <v>0</v>
      </c>
      <c r="I77" s="16">
        <f t="shared" si="9"/>
        <v>0</v>
      </c>
      <c r="J77" s="16">
        <f t="shared" si="9"/>
        <v>0</v>
      </c>
      <c r="K77" s="16">
        <f t="shared" si="9"/>
        <v>0</v>
      </c>
      <c r="L77" s="16">
        <f aca="true" t="shared" si="10" ref="L77:AR77">+L74*(L23/100)</f>
        <v>0</v>
      </c>
      <c r="M77" s="16">
        <f t="shared" si="10"/>
        <v>0</v>
      </c>
      <c r="N77" s="16">
        <f t="shared" si="10"/>
        <v>67.10600000000001</v>
      </c>
      <c r="O77" s="16">
        <f t="shared" si="10"/>
        <v>452.64</v>
      </c>
      <c r="P77" s="16">
        <f t="shared" si="10"/>
        <v>0</v>
      </c>
      <c r="Q77" s="16">
        <f t="shared" si="10"/>
        <v>0</v>
      </c>
      <c r="R77" s="16">
        <f t="shared" si="10"/>
        <v>0</v>
      </c>
      <c r="S77" s="16">
        <f t="shared" si="10"/>
        <v>0</v>
      </c>
      <c r="T77" s="16">
        <f t="shared" si="10"/>
        <v>0</v>
      </c>
      <c r="U77" s="16">
        <f t="shared" si="10"/>
        <v>5005.999999999999</v>
      </c>
      <c r="V77" s="16">
        <f t="shared" si="10"/>
        <v>662.0000000000001</v>
      </c>
      <c r="W77" s="16">
        <f t="shared" si="10"/>
        <v>1767</v>
      </c>
      <c r="X77" s="16">
        <f t="shared" si="10"/>
        <v>0</v>
      </c>
      <c r="Y77" s="16">
        <f t="shared" si="10"/>
        <v>0</v>
      </c>
      <c r="Z77" s="16">
        <f t="shared" si="10"/>
        <v>0</v>
      </c>
      <c r="AA77" s="16">
        <f t="shared" si="10"/>
        <v>0</v>
      </c>
      <c r="AB77" s="16">
        <f t="shared" si="10"/>
        <v>96.39</v>
      </c>
      <c r="AC77" s="16">
        <f t="shared" si="10"/>
        <v>0</v>
      </c>
      <c r="AD77" s="16">
        <f t="shared" si="10"/>
        <v>0</v>
      </c>
      <c r="AE77" s="16">
        <f t="shared" si="10"/>
        <v>0</v>
      </c>
      <c r="AF77" s="16">
        <f t="shared" si="10"/>
        <v>0</v>
      </c>
      <c r="AG77" s="16">
        <f t="shared" si="10"/>
        <v>2412.225846</v>
      </c>
      <c r="AH77" s="16">
        <f t="shared" si="10"/>
        <v>417.55381200000005</v>
      </c>
      <c r="AI77" s="16">
        <f t="shared" si="10"/>
        <v>0</v>
      </c>
      <c r="AJ77" s="16">
        <f t="shared" si="10"/>
        <v>0</v>
      </c>
      <c r="AK77" s="16">
        <f t="shared" si="10"/>
        <v>0</v>
      </c>
      <c r="AL77" s="16">
        <f t="shared" si="10"/>
        <v>0</v>
      </c>
      <c r="AM77" s="16">
        <f t="shared" si="10"/>
        <v>276.260532</v>
      </c>
      <c r="AN77" s="16">
        <f t="shared" si="10"/>
        <v>2042.6260998000002</v>
      </c>
      <c r="AO77" s="16">
        <f t="shared" si="10"/>
        <v>354.3339624000001</v>
      </c>
      <c r="AP77" s="16">
        <f t="shared" si="10"/>
        <v>0</v>
      </c>
      <c r="AQ77" s="16">
        <f t="shared" si="10"/>
        <v>0</v>
      </c>
      <c r="AR77" s="16">
        <f t="shared" si="10"/>
        <v>494.92499999999995</v>
      </c>
      <c r="AS77" s="16"/>
      <c r="AT77" s="16">
        <f t="shared" si="8"/>
        <v>14081.1252522</v>
      </c>
      <c r="AU77" s="16"/>
      <c r="AV77" s="16"/>
      <c r="AW77" s="16"/>
      <c r="AX77" s="16"/>
      <c r="AY77" s="31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</row>
    <row r="78" spans="1:78" ht="12.75">
      <c r="A78" s="33" t="s">
        <v>368</v>
      </c>
      <c r="B78" s="345"/>
      <c r="C78" s="16">
        <f>+C74*(C24/100)</f>
        <v>138.94400000000002</v>
      </c>
      <c r="D78" s="16">
        <f aca="true" t="shared" si="11" ref="D78:K78">+D74*(D24/100)</f>
        <v>495.24800000000005</v>
      </c>
      <c r="E78" s="16">
        <f t="shared" si="11"/>
        <v>0</v>
      </c>
      <c r="F78" s="16">
        <f t="shared" si="11"/>
        <v>0</v>
      </c>
      <c r="G78" s="16">
        <f t="shared" si="11"/>
        <v>0</v>
      </c>
      <c r="H78" s="16">
        <f t="shared" si="11"/>
        <v>0</v>
      </c>
      <c r="I78" s="16">
        <f t="shared" si="11"/>
        <v>0</v>
      </c>
      <c r="J78" s="16">
        <f t="shared" si="11"/>
        <v>0</v>
      </c>
      <c r="K78" s="16">
        <f t="shared" si="11"/>
        <v>0</v>
      </c>
      <c r="L78" s="16">
        <f aca="true" t="shared" si="12" ref="L78:AR78">+L74*(L24/100)</f>
        <v>0</v>
      </c>
      <c r="M78" s="16">
        <f t="shared" si="12"/>
        <v>0</v>
      </c>
      <c r="N78" s="16">
        <f t="shared" si="12"/>
        <v>20.648</v>
      </c>
      <c r="O78" s="16">
        <f t="shared" si="12"/>
        <v>0</v>
      </c>
      <c r="P78" s="16">
        <f t="shared" si="12"/>
        <v>0</v>
      </c>
      <c r="Q78" s="16">
        <f t="shared" si="12"/>
        <v>0</v>
      </c>
      <c r="R78" s="16">
        <f t="shared" si="12"/>
        <v>0</v>
      </c>
      <c r="S78" s="16">
        <f t="shared" si="12"/>
        <v>0</v>
      </c>
      <c r="T78" s="16">
        <f t="shared" si="12"/>
        <v>0</v>
      </c>
      <c r="U78" s="16">
        <f t="shared" si="12"/>
        <v>13034</v>
      </c>
      <c r="V78" s="16">
        <f t="shared" si="12"/>
        <v>0</v>
      </c>
      <c r="W78" s="16">
        <f t="shared" si="12"/>
        <v>16807</v>
      </c>
      <c r="X78" s="16">
        <f t="shared" si="12"/>
        <v>0</v>
      </c>
      <c r="Y78" s="16">
        <f t="shared" si="12"/>
        <v>0</v>
      </c>
      <c r="Z78" s="16">
        <f t="shared" si="12"/>
        <v>0</v>
      </c>
      <c r="AA78" s="16">
        <f t="shared" si="12"/>
        <v>0</v>
      </c>
      <c r="AB78" s="16">
        <f t="shared" si="12"/>
        <v>173.88</v>
      </c>
      <c r="AC78" s="16">
        <f t="shared" si="12"/>
        <v>0</v>
      </c>
      <c r="AD78" s="16">
        <f t="shared" si="12"/>
        <v>0</v>
      </c>
      <c r="AE78" s="16">
        <f t="shared" si="12"/>
        <v>0</v>
      </c>
      <c r="AF78" s="16">
        <f t="shared" si="12"/>
        <v>0</v>
      </c>
      <c r="AG78" s="16">
        <f t="shared" si="12"/>
        <v>645.896538</v>
      </c>
      <c r="AH78" s="16">
        <f t="shared" si="12"/>
        <v>465.733098</v>
      </c>
      <c r="AI78" s="16">
        <f t="shared" si="12"/>
        <v>922.8116939999999</v>
      </c>
      <c r="AJ78" s="16">
        <f t="shared" si="12"/>
        <v>0</v>
      </c>
      <c r="AK78" s="16">
        <f t="shared" si="12"/>
        <v>0</v>
      </c>
      <c r="AL78" s="16">
        <f t="shared" si="12"/>
        <v>0</v>
      </c>
      <c r="AM78" s="16">
        <f t="shared" si="12"/>
        <v>531.8015240999999</v>
      </c>
      <c r="AN78" s="16">
        <f t="shared" si="12"/>
        <v>630.8412396000001</v>
      </c>
      <c r="AO78" s="16">
        <f t="shared" si="12"/>
        <v>0</v>
      </c>
      <c r="AP78" s="16">
        <f t="shared" si="12"/>
        <v>0</v>
      </c>
      <c r="AQ78" s="16">
        <f t="shared" si="12"/>
        <v>0</v>
      </c>
      <c r="AR78" s="16">
        <f t="shared" si="12"/>
        <v>0</v>
      </c>
      <c r="AS78" s="16"/>
      <c r="AT78" s="16">
        <f t="shared" si="8"/>
        <v>33866.804093700004</v>
      </c>
      <c r="AU78" s="16"/>
      <c r="AV78" s="16"/>
      <c r="AW78" s="16"/>
      <c r="AX78" s="16"/>
      <c r="AY78" s="104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</row>
    <row r="79" spans="1:78" ht="12.75">
      <c r="A79" s="33" t="s">
        <v>369</v>
      </c>
      <c r="B79" s="345"/>
      <c r="C79" s="16">
        <f>+C74*(C25/100)</f>
        <v>684.032</v>
      </c>
      <c r="D79" s="16">
        <f aca="true" t="shared" si="13" ref="D79:K79">+D74*(D25/100)</f>
        <v>0</v>
      </c>
      <c r="E79" s="16">
        <f t="shared" si="13"/>
        <v>0</v>
      </c>
      <c r="F79" s="16">
        <f t="shared" si="13"/>
        <v>0</v>
      </c>
      <c r="G79" s="16">
        <f t="shared" si="13"/>
        <v>0</v>
      </c>
      <c r="H79" s="16">
        <f t="shared" si="13"/>
        <v>0</v>
      </c>
      <c r="I79" s="16">
        <f t="shared" si="13"/>
        <v>0</v>
      </c>
      <c r="J79" s="16">
        <f t="shared" si="13"/>
        <v>0</v>
      </c>
      <c r="K79" s="16">
        <f t="shared" si="13"/>
        <v>0</v>
      </c>
      <c r="L79" s="16">
        <f aca="true" t="shared" si="14" ref="L79:AR79">+L74*(L25/100)</f>
        <v>0</v>
      </c>
      <c r="M79" s="16">
        <f t="shared" si="14"/>
        <v>0</v>
      </c>
      <c r="N79" s="16">
        <f t="shared" si="14"/>
        <v>0</v>
      </c>
      <c r="O79" s="16">
        <f t="shared" si="14"/>
        <v>651.36</v>
      </c>
      <c r="P79" s="16">
        <f t="shared" si="14"/>
        <v>0</v>
      </c>
      <c r="Q79" s="16">
        <f t="shared" si="14"/>
        <v>0</v>
      </c>
      <c r="R79" s="16">
        <f t="shared" si="14"/>
        <v>0</v>
      </c>
      <c r="S79" s="16">
        <f t="shared" si="14"/>
        <v>0</v>
      </c>
      <c r="T79" s="16">
        <f t="shared" si="14"/>
        <v>0</v>
      </c>
      <c r="U79" s="16">
        <f t="shared" si="14"/>
        <v>8823</v>
      </c>
      <c r="V79" s="16">
        <f t="shared" si="14"/>
        <v>0</v>
      </c>
      <c r="W79" s="16">
        <f t="shared" si="14"/>
        <v>1857</v>
      </c>
      <c r="X79" s="16">
        <f t="shared" si="14"/>
        <v>0</v>
      </c>
      <c r="Y79" s="16">
        <f t="shared" si="14"/>
        <v>0</v>
      </c>
      <c r="Z79" s="16">
        <f t="shared" si="14"/>
        <v>0</v>
      </c>
      <c r="AA79" s="16">
        <f t="shared" si="14"/>
        <v>0</v>
      </c>
      <c r="AB79" s="16">
        <f t="shared" si="14"/>
        <v>0</v>
      </c>
      <c r="AC79" s="16">
        <f t="shared" si="14"/>
        <v>0</v>
      </c>
      <c r="AD79" s="16">
        <f t="shared" si="14"/>
        <v>0</v>
      </c>
      <c r="AE79" s="16">
        <f t="shared" si="14"/>
        <v>0</v>
      </c>
      <c r="AF79" s="16">
        <f t="shared" si="14"/>
        <v>0</v>
      </c>
      <c r="AG79" s="16">
        <f t="shared" si="14"/>
        <v>584.3825820000001</v>
      </c>
      <c r="AH79" s="16">
        <f t="shared" si="14"/>
        <v>0</v>
      </c>
      <c r="AI79" s="16">
        <f t="shared" si="14"/>
        <v>0</v>
      </c>
      <c r="AJ79" s="16">
        <f t="shared" si="14"/>
        <v>0</v>
      </c>
      <c r="AK79" s="16">
        <f t="shared" si="14"/>
        <v>0</v>
      </c>
      <c r="AL79" s="16">
        <f t="shared" si="14"/>
        <v>0</v>
      </c>
      <c r="AM79" s="16">
        <f t="shared" si="14"/>
        <v>573.2406039</v>
      </c>
      <c r="AN79" s="16">
        <f t="shared" si="14"/>
        <v>271.82924340000005</v>
      </c>
      <c r="AO79" s="16">
        <f t="shared" si="14"/>
        <v>100.3777134</v>
      </c>
      <c r="AP79" s="16">
        <f t="shared" si="14"/>
        <v>0</v>
      </c>
      <c r="AQ79" s="16">
        <f t="shared" si="14"/>
        <v>0</v>
      </c>
      <c r="AR79" s="16">
        <f t="shared" si="14"/>
        <v>188.0715</v>
      </c>
      <c r="AS79" s="16"/>
      <c r="AT79" s="16">
        <f t="shared" si="8"/>
        <v>13733.293642699999</v>
      </c>
      <c r="AU79" s="16"/>
      <c r="AV79" s="16"/>
      <c r="AW79" s="16"/>
      <c r="AX79" s="16"/>
      <c r="AY79" s="30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</row>
    <row r="80" spans="1:78" ht="12.75">
      <c r="A80" s="33" t="s">
        <v>370</v>
      </c>
      <c r="B80" s="345"/>
      <c r="C80" s="16">
        <f>+C74*(C26/100)</f>
        <v>0</v>
      </c>
      <c r="D80" s="16">
        <f aca="true" t="shared" si="15" ref="D80:K80">+D74*(D26/100)</f>
        <v>0</v>
      </c>
      <c r="E80" s="16">
        <f t="shared" si="15"/>
        <v>0</v>
      </c>
      <c r="F80" s="16">
        <f t="shared" si="15"/>
        <v>0</v>
      </c>
      <c r="G80" s="16">
        <f t="shared" si="15"/>
        <v>0</v>
      </c>
      <c r="H80" s="16">
        <f t="shared" si="15"/>
        <v>0</v>
      </c>
      <c r="I80" s="16">
        <f t="shared" si="15"/>
        <v>0</v>
      </c>
      <c r="J80" s="16">
        <f t="shared" si="15"/>
        <v>0</v>
      </c>
      <c r="K80" s="16">
        <f t="shared" si="15"/>
        <v>0</v>
      </c>
      <c r="L80" s="16">
        <f aca="true" t="shared" si="16" ref="L80:AR80">+L74*(L26/100)</f>
        <v>0</v>
      </c>
      <c r="M80" s="16">
        <f t="shared" si="16"/>
        <v>0</v>
      </c>
      <c r="N80" s="16">
        <f t="shared" si="16"/>
        <v>0</v>
      </c>
      <c r="O80" s="16">
        <f t="shared" si="16"/>
        <v>0</v>
      </c>
      <c r="P80" s="16">
        <f t="shared" si="16"/>
        <v>0</v>
      </c>
      <c r="Q80" s="16">
        <f t="shared" si="16"/>
        <v>4738</v>
      </c>
      <c r="R80" s="16">
        <f t="shared" si="16"/>
        <v>92608</v>
      </c>
      <c r="S80" s="16">
        <f t="shared" si="16"/>
        <v>50829</v>
      </c>
      <c r="T80" s="16">
        <f t="shared" si="16"/>
        <v>25550</v>
      </c>
      <c r="U80" s="16">
        <f t="shared" si="16"/>
        <v>8028</v>
      </c>
      <c r="V80" s="16">
        <f t="shared" si="16"/>
        <v>0</v>
      </c>
      <c r="W80" s="16">
        <f t="shared" si="16"/>
        <v>0</v>
      </c>
      <c r="X80" s="16">
        <f t="shared" si="16"/>
        <v>0</v>
      </c>
      <c r="Y80" s="16">
        <f t="shared" si="16"/>
        <v>0</v>
      </c>
      <c r="Z80" s="16">
        <f t="shared" si="16"/>
        <v>0</v>
      </c>
      <c r="AA80" s="16">
        <f t="shared" si="16"/>
        <v>0</v>
      </c>
      <c r="AB80" s="16">
        <f t="shared" si="16"/>
        <v>0</v>
      </c>
      <c r="AC80" s="16">
        <f t="shared" si="16"/>
        <v>0</v>
      </c>
      <c r="AD80" s="16">
        <f t="shared" si="16"/>
        <v>0</v>
      </c>
      <c r="AE80" s="16">
        <f t="shared" si="16"/>
        <v>0</v>
      </c>
      <c r="AF80" s="16">
        <f t="shared" si="16"/>
        <v>0</v>
      </c>
      <c r="AG80" s="16">
        <f t="shared" si="16"/>
        <v>0</v>
      </c>
      <c r="AH80" s="16">
        <f t="shared" si="16"/>
        <v>0</v>
      </c>
      <c r="AI80" s="16">
        <f t="shared" si="16"/>
        <v>0</v>
      </c>
      <c r="AJ80" s="16">
        <f t="shared" si="16"/>
        <v>0</v>
      </c>
      <c r="AK80" s="16">
        <f t="shared" si="16"/>
        <v>0</v>
      </c>
      <c r="AL80" s="16">
        <f t="shared" si="16"/>
        <v>0</v>
      </c>
      <c r="AM80" s="16">
        <f t="shared" si="16"/>
        <v>0</v>
      </c>
      <c r="AN80" s="16">
        <f t="shared" si="16"/>
        <v>0</v>
      </c>
      <c r="AO80" s="16">
        <f t="shared" si="16"/>
        <v>0</v>
      </c>
      <c r="AP80" s="16">
        <f t="shared" si="16"/>
        <v>0</v>
      </c>
      <c r="AQ80" s="16">
        <f t="shared" si="16"/>
        <v>0</v>
      </c>
      <c r="AR80" s="16">
        <f t="shared" si="16"/>
        <v>1501.2725</v>
      </c>
      <c r="AS80" s="16"/>
      <c r="AT80" s="16">
        <f t="shared" si="8"/>
        <v>183254.2725</v>
      </c>
      <c r="AU80" s="16"/>
      <c r="AV80" s="16"/>
      <c r="AW80" s="16"/>
      <c r="AX80" s="16"/>
      <c r="AY80" s="30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</row>
    <row r="81" spans="1:78" ht="12.75">
      <c r="A81" s="104" t="s">
        <v>371</v>
      </c>
      <c r="B81" s="345"/>
      <c r="C81" s="31">
        <f aca="true" t="shared" si="17" ref="C81:AB81">SUM(C76:C80)</f>
        <v>10688</v>
      </c>
      <c r="D81" s="31">
        <f t="shared" si="17"/>
        <v>2381</v>
      </c>
      <c r="E81" s="31">
        <f t="shared" si="17"/>
        <v>4702</v>
      </c>
      <c r="F81" s="31">
        <f t="shared" si="17"/>
        <v>16804</v>
      </c>
      <c r="G81" s="31">
        <f t="shared" si="17"/>
        <v>1397</v>
      </c>
      <c r="H81" s="31">
        <f t="shared" si="17"/>
        <v>2365</v>
      </c>
      <c r="I81" s="31">
        <f t="shared" si="17"/>
        <v>622</v>
      </c>
      <c r="J81" s="31">
        <f t="shared" si="17"/>
        <v>0</v>
      </c>
      <c r="K81" s="31">
        <f t="shared" si="17"/>
        <v>0</v>
      </c>
      <c r="L81" s="31">
        <f t="shared" si="17"/>
        <v>573</v>
      </c>
      <c r="M81" s="31">
        <f t="shared" si="17"/>
        <v>8169</v>
      </c>
      <c r="N81" s="31">
        <f t="shared" si="17"/>
        <v>5162</v>
      </c>
      <c r="O81" s="31">
        <f t="shared" si="17"/>
        <v>1104</v>
      </c>
      <c r="P81" s="31">
        <f t="shared" si="17"/>
        <v>758</v>
      </c>
      <c r="Q81" s="31">
        <f>SUM(Q76:Q80)</f>
        <v>4738</v>
      </c>
      <c r="R81" s="31">
        <f>SUM(R76:R80)</f>
        <v>92608</v>
      </c>
      <c r="S81" s="31">
        <f>SUM(S76:S80)</f>
        <v>50829</v>
      </c>
      <c r="T81" s="31">
        <f>SUM(T76:T80)</f>
        <v>25550</v>
      </c>
      <c r="U81" s="31">
        <f t="shared" si="17"/>
        <v>156622</v>
      </c>
      <c r="V81" s="31">
        <f t="shared" si="17"/>
        <v>11904</v>
      </c>
      <c r="W81" s="31">
        <f t="shared" si="17"/>
        <v>123386.00000000001</v>
      </c>
      <c r="X81" s="31">
        <f t="shared" si="17"/>
        <v>0</v>
      </c>
      <c r="Y81" s="31">
        <f t="shared" si="17"/>
        <v>0</v>
      </c>
      <c r="Z81" s="31">
        <f t="shared" si="17"/>
        <v>23705</v>
      </c>
      <c r="AA81" s="31">
        <f t="shared" si="17"/>
        <v>0</v>
      </c>
      <c r="AB81" s="31">
        <f t="shared" si="17"/>
        <v>1890</v>
      </c>
      <c r="AC81" s="31">
        <f aca="true" t="shared" si="18" ref="AC81:AR81">SUM(AC76:AC80)</f>
        <v>2004</v>
      </c>
      <c r="AD81" s="31">
        <f t="shared" si="18"/>
        <v>0</v>
      </c>
      <c r="AE81" s="31">
        <f t="shared" si="18"/>
        <v>0</v>
      </c>
      <c r="AF81" s="31">
        <f t="shared" si="18"/>
        <v>0</v>
      </c>
      <c r="AG81" s="31">
        <f t="shared" si="18"/>
        <v>4393.854</v>
      </c>
      <c r="AH81" s="31">
        <f t="shared" si="18"/>
        <v>16059.762</v>
      </c>
      <c r="AI81" s="31">
        <f t="shared" si="18"/>
        <v>65915.121</v>
      </c>
      <c r="AJ81" s="31">
        <f t="shared" si="18"/>
        <v>3686</v>
      </c>
      <c r="AK81" s="31">
        <f t="shared" si="18"/>
        <v>324</v>
      </c>
      <c r="AL81" s="31">
        <f t="shared" si="18"/>
        <v>956</v>
      </c>
      <c r="AM81" s="31">
        <f t="shared" si="18"/>
        <v>23021.711</v>
      </c>
      <c r="AN81" s="31">
        <f t="shared" si="18"/>
        <v>4112.394000000001</v>
      </c>
      <c r="AO81" s="31">
        <f t="shared" si="18"/>
        <v>634.0980000000002</v>
      </c>
      <c r="AP81" s="31">
        <f t="shared" si="18"/>
        <v>13386.504</v>
      </c>
      <c r="AQ81" s="31">
        <f t="shared" si="18"/>
        <v>0</v>
      </c>
      <c r="AR81" s="31">
        <f t="shared" si="18"/>
        <v>32995</v>
      </c>
      <c r="AS81" s="31">
        <f>SUM(AS76:AS80)</f>
        <v>0</v>
      </c>
      <c r="AT81" s="16">
        <f t="shared" si="8"/>
        <v>713445.444</v>
      </c>
      <c r="AU81" s="16"/>
      <c r="AV81" s="16"/>
      <c r="AW81" s="16"/>
      <c r="AX81" s="16"/>
      <c r="AY81" s="30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</row>
    <row r="82" spans="1:78" ht="12.75">
      <c r="A82" s="33"/>
      <c r="B82" s="34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16"/>
      <c r="AU82" s="31"/>
      <c r="AV82" s="31"/>
      <c r="AW82" s="31"/>
      <c r="AX82" s="16"/>
      <c r="AY82" s="30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</row>
    <row r="83" spans="1:78" ht="12.75">
      <c r="A83" s="33"/>
      <c r="B83" s="34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T83" s="16"/>
      <c r="AU83" s="31"/>
      <c r="AV83" s="16"/>
      <c r="AW83" s="16"/>
      <c r="AX83" s="31"/>
      <c r="AY83" s="30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</row>
    <row r="84" spans="1:46" ht="12.75">
      <c r="A84" s="37" t="s">
        <v>390</v>
      </c>
      <c r="B84" s="338"/>
      <c r="AT84" s="16"/>
    </row>
    <row r="85" spans="1:49" ht="12.75">
      <c r="A85" s="30" t="str">
        <f>+'3.2 Efnah.'!A23</f>
        <v>      Aðrar fjárfestingar    </v>
      </c>
      <c r="B85" s="345"/>
      <c r="C85" s="16">
        <f>+'5.1. Séreignard.'!B87</f>
        <v>1673303</v>
      </c>
      <c r="D85" s="16">
        <f>+'5.1. Séreignard.'!C87</f>
        <v>398903</v>
      </c>
      <c r="E85" s="16">
        <f>+'5.1. Séreignard.'!D87</f>
        <v>207926</v>
      </c>
      <c r="F85" s="16">
        <f>+'5.1. Séreignard.'!E87</f>
        <v>1876716</v>
      </c>
      <c r="G85" s="16">
        <f>+'5.1. Séreignard.'!F87</f>
        <v>199066</v>
      </c>
      <c r="H85" s="16">
        <f>+'5.1. Séreignard.'!G87</f>
        <v>416295</v>
      </c>
      <c r="I85" s="16">
        <f>+'5.1. Séreignard.'!H87</f>
        <v>104663</v>
      </c>
      <c r="J85" s="16">
        <f>+'5.1. Séreignard.'!I87</f>
        <v>6012</v>
      </c>
      <c r="K85" s="16">
        <f>+'5.1. Séreignard.'!J87</f>
        <v>15156</v>
      </c>
      <c r="L85" s="16">
        <f>+'5.1. Séreignard.'!K87</f>
        <v>182864</v>
      </c>
      <c r="M85" s="16">
        <f>+'5.1. Séreignard.'!L87</f>
        <v>821779</v>
      </c>
      <c r="N85" s="16">
        <f>+'5.1. Séreignard.'!M87</f>
        <v>174454</v>
      </c>
      <c r="O85" s="16">
        <f>+'5.1. Séreignard.'!N87</f>
        <v>444960</v>
      </c>
      <c r="P85" s="16">
        <f>+'5.1. Séreignard.'!O87</f>
        <v>129914</v>
      </c>
      <c r="Q85" s="16">
        <f>+'5.1. Séreignard.'!P87</f>
        <v>3871578</v>
      </c>
      <c r="R85" s="16">
        <f>+'5.1. Séreignard.'!Q87</f>
        <v>15542479</v>
      </c>
      <c r="S85" s="16">
        <f>+'5.1. Séreignard.'!R87</f>
        <v>1147994</v>
      </c>
      <c r="T85" s="16">
        <f>+'5.1. Séreignard.'!S87</f>
        <v>634566</v>
      </c>
      <c r="U85" s="16">
        <f>+'5.1. Séreignard.'!T87</f>
        <v>18651885</v>
      </c>
      <c r="V85" s="16">
        <f>+'5.1. Séreignard.'!U87</f>
        <v>845928</v>
      </c>
      <c r="W85" s="16">
        <f>+'5.1. Séreignard.'!V87</f>
        <v>2882989</v>
      </c>
      <c r="X85" s="16">
        <f>+'5.1. Séreignard.'!W87</f>
        <v>122674</v>
      </c>
      <c r="Y85" s="16">
        <f>+'5.1. Séreignard.'!X87</f>
        <v>198353</v>
      </c>
      <c r="Z85" s="16">
        <f>+'5.1. Séreignard.'!Y87</f>
        <v>1038827</v>
      </c>
      <c r="AA85" s="16">
        <f>+'5.1. Séreignard.'!Z87</f>
        <v>30065</v>
      </c>
      <c r="AB85" s="16">
        <f>+'5.1. Séreignard.'!AA87</f>
        <v>102167</v>
      </c>
      <c r="AC85" s="16">
        <f>+'5.1. Séreignard.'!AB87</f>
        <v>470406</v>
      </c>
      <c r="AD85" s="16">
        <f>+'5.1. Séreignard.'!AC87</f>
        <v>15311</v>
      </c>
      <c r="AE85" s="16">
        <f>+'5.1. Séreignard.'!AD87</f>
        <v>41403</v>
      </c>
      <c r="AF85" s="16">
        <f>+'5.1. Séreignard.'!AE87</f>
        <v>34857</v>
      </c>
      <c r="AG85" s="16">
        <f>+'5.1. Séreignard.'!AF87</f>
        <v>2357517.594</v>
      </c>
      <c r="AH85" s="16">
        <f>+'5.1. Séreignard.'!AG87</f>
        <v>3595818.3260000004</v>
      </c>
      <c r="AI85" s="16">
        <f>+'5.1. Séreignard.'!AH87</f>
        <v>1014117.262</v>
      </c>
      <c r="AJ85" s="16">
        <f>+'5.1. Séreignard.'!AI87</f>
        <v>216480</v>
      </c>
      <c r="AK85" s="16">
        <f>+'5.1. Séreignard.'!AJ87</f>
        <v>36611</v>
      </c>
      <c r="AL85" s="16">
        <f>+'5.1. Séreignard.'!AK87</f>
        <v>0</v>
      </c>
      <c r="AM85" s="16">
        <f>+'5.1. Séreignard.'!AL87</f>
        <v>471079.78</v>
      </c>
      <c r="AN85" s="16">
        <f>+'5.1. Séreignard.'!AM87</f>
        <v>2559219.473</v>
      </c>
      <c r="AO85" s="16">
        <f>+'5.1. Séreignard.'!AN87</f>
        <v>1578024.026</v>
      </c>
      <c r="AP85" s="16">
        <f>+'5.1. Séreignard.'!AO87</f>
        <v>356154.68</v>
      </c>
      <c r="AQ85" s="16">
        <f>+'5.1. Séreignard.'!AP87</f>
        <v>6703</v>
      </c>
      <c r="AR85" s="16">
        <f>+'5.1. Séreignard.'!AQ87</f>
        <v>1467942</v>
      </c>
      <c r="AS85" s="16">
        <f>+'5.1. Séreignard.'!AR87</f>
        <v>0</v>
      </c>
      <c r="AT85" s="16">
        <f t="shared" si="8"/>
        <v>65943160.140999995</v>
      </c>
      <c r="AU85" s="16"/>
      <c r="AV85" s="16"/>
      <c r="AW85" s="16"/>
    </row>
    <row r="86" spans="1:164" ht="12.75">
      <c r="A86" s="30"/>
      <c r="B86" s="345"/>
      <c r="C86" s="16"/>
      <c r="D86" s="16"/>
      <c r="E86" s="16"/>
      <c r="F86" s="16"/>
      <c r="G86" s="16"/>
      <c r="H86" s="30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30"/>
      <c r="AK86" s="30"/>
      <c r="AL86" s="30"/>
      <c r="AM86" s="16"/>
      <c r="AN86" s="16"/>
      <c r="AO86" s="16"/>
      <c r="AP86" s="16"/>
      <c r="AQ86" s="16"/>
      <c r="AR86" s="16"/>
      <c r="AS86" s="16"/>
      <c r="AT86" s="16">
        <f t="shared" si="8"/>
        <v>0</v>
      </c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</row>
    <row r="87" spans="1:164" ht="12.75">
      <c r="A87" s="30" t="str">
        <f aca="true" t="shared" si="19" ref="A87:A93">+A10</f>
        <v>Skráð verðbréf með br. tekjum (%)</v>
      </c>
      <c r="B87" s="345"/>
      <c r="C87" s="16">
        <f aca="true" t="shared" si="20" ref="C87:P87">+C10*C85/100</f>
        <v>1099360.071</v>
      </c>
      <c r="D87" s="16">
        <f t="shared" si="20"/>
        <v>328297.169</v>
      </c>
      <c r="E87" s="16">
        <f t="shared" si="20"/>
        <v>0</v>
      </c>
      <c r="F87" s="16">
        <f t="shared" si="20"/>
        <v>688754.772</v>
      </c>
      <c r="G87" s="16">
        <f t="shared" si="20"/>
        <v>72460.02399999999</v>
      </c>
      <c r="H87" s="16">
        <f t="shared" si="20"/>
        <v>86589.36</v>
      </c>
      <c r="I87" s="16">
        <f t="shared" si="20"/>
        <v>99011.19799999999</v>
      </c>
      <c r="J87" s="16">
        <f t="shared" si="20"/>
        <v>6012</v>
      </c>
      <c r="K87" s="16">
        <f t="shared" si="20"/>
        <v>0</v>
      </c>
      <c r="L87" s="16">
        <f t="shared" si="20"/>
        <v>61076.575999999994</v>
      </c>
      <c r="M87" s="16">
        <f t="shared" si="20"/>
        <v>0</v>
      </c>
      <c r="N87" s="16">
        <f t="shared" si="20"/>
        <v>39949.96599999999</v>
      </c>
      <c r="O87" s="16">
        <f t="shared" si="20"/>
        <v>190442.88</v>
      </c>
      <c r="P87" s="16">
        <f t="shared" si="20"/>
        <v>129914</v>
      </c>
      <c r="Q87" s="16">
        <f aca="true" t="shared" si="21" ref="Q87:X87">+Q10*Q85/100</f>
        <v>2981115.06</v>
      </c>
      <c r="R87" s="16">
        <f t="shared" si="21"/>
        <v>13211107.15</v>
      </c>
      <c r="S87" s="16">
        <f t="shared" si="21"/>
        <v>1026306.636</v>
      </c>
      <c r="T87" s="16">
        <f t="shared" si="21"/>
        <v>0</v>
      </c>
      <c r="U87" s="16">
        <f t="shared" si="21"/>
        <v>9251334.96</v>
      </c>
      <c r="V87" s="16">
        <f t="shared" si="21"/>
        <v>274080.672</v>
      </c>
      <c r="W87" s="16">
        <f t="shared" si="21"/>
        <v>0</v>
      </c>
      <c r="X87" s="16">
        <f t="shared" si="21"/>
        <v>47842.86</v>
      </c>
      <c r="Y87" s="16">
        <f aca="true" t="shared" si="22" ref="Y87:AR87">+Y10*Y85/100</f>
        <v>0</v>
      </c>
      <c r="Z87" s="16">
        <f t="shared" si="22"/>
        <v>261784.40399999998</v>
      </c>
      <c r="AA87" s="16">
        <f t="shared" si="22"/>
        <v>30065</v>
      </c>
      <c r="AB87" s="16">
        <f t="shared" si="22"/>
        <v>56294.017</v>
      </c>
      <c r="AC87" s="16">
        <f t="shared" si="22"/>
        <v>154293.16799999998</v>
      </c>
      <c r="AD87" s="16">
        <f t="shared" si="22"/>
        <v>4864.3047</v>
      </c>
      <c r="AE87" s="16">
        <f t="shared" si="22"/>
        <v>23562.4473</v>
      </c>
      <c r="AF87" s="16">
        <f t="shared" si="22"/>
        <v>11781.666</v>
      </c>
      <c r="AG87" s="16">
        <f t="shared" si="22"/>
        <v>2336299.935654</v>
      </c>
      <c r="AH87" s="16">
        <f t="shared" si="22"/>
        <v>3531093.596132001</v>
      </c>
      <c r="AI87" s="16">
        <f t="shared" si="22"/>
        <v>996877.268546</v>
      </c>
      <c r="AJ87" s="16">
        <f t="shared" si="22"/>
        <v>169070.88</v>
      </c>
      <c r="AK87" s="16">
        <f t="shared" si="22"/>
        <v>35988.613</v>
      </c>
      <c r="AL87" s="16">
        <f t="shared" si="22"/>
        <v>0</v>
      </c>
      <c r="AM87" s="16">
        <f t="shared" si="22"/>
        <v>469195.46087999997</v>
      </c>
      <c r="AN87" s="16">
        <f t="shared" si="22"/>
        <v>2556660.253527</v>
      </c>
      <c r="AO87" s="16">
        <f t="shared" si="22"/>
        <v>1573289.9539220002</v>
      </c>
      <c r="AP87" s="16">
        <f t="shared" si="22"/>
        <v>0</v>
      </c>
      <c r="AQ87" s="16">
        <f t="shared" si="22"/>
        <v>2010.9</v>
      </c>
      <c r="AR87" s="16">
        <f t="shared" si="22"/>
        <v>1322028.5652</v>
      </c>
      <c r="AS87" s="16">
        <f>+AS85*AS10/100</f>
        <v>0</v>
      </c>
      <c r="AT87" s="16">
        <f t="shared" si="8"/>
        <v>43128815.787861</v>
      </c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</row>
    <row r="88" spans="1:164" ht="12.75">
      <c r="A88" s="30" t="str">
        <f t="shared" si="19"/>
        <v>Skráð verðbréf með föst. tekjum (%)</v>
      </c>
      <c r="B88" s="345"/>
      <c r="C88" s="16">
        <f aca="true" t="shared" si="23" ref="C88:P88">+C11*C85/100</f>
        <v>573942.929</v>
      </c>
      <c r="D88" s="16">
        <f t="shared" si="23"/>
        <v>70605.83099999999</v>
      </c>
      <c r="E88" s="16">
        <f t="shared" si="23"/>
        <v>0</v>
      </c>
      <c r="F88" s="16">
        <f t="shared" si="23"/>
        <v>671864.328</v>
      </c>
      <c r="G88" s="16">
        <f t="shared" si="23"/>
        <v>126207.844</v>
      </c>
      <c r="H88" s="16">
        <f t="shared" si="23"/>
        <v>329705.64</v>
      </c>
      <c r="I88" s="16">
        <f t="shared" si="23"/>
        <v>5651.802000000001</v>
      </c>
      <c r="J88" s="16">
        <f t="shared" si="23"/>
        <v>0</v>
      </c>
      <c r="K88" s="16">
        <f t="shared" si="23"/>
        <v>0</v>
      </c>
      <c r="L88" s="16">
        <f t="shared" si="23"/>
        <v>51750.512</v>
      </c>
      <c r="M88" s="16">
        <f t="shared" si="23"/>
        <v>349256.075</v>
      </c>
      <c r="N88" s="16">
        <f t="shared" si="23"/>
        <v>118628.72</v>
      </c>
      <c r="O88" s="16">
        <f t="shared" si="23"/>
        <v>189997.92</v>
      </c>
      <c r="P88" s="16">
        <f t="shared" si="23"/>
        <v>0</v>
      </c>
      <c r="Q88" s="16">
        <f aca="true" t="shared" si="24" ref="Q88:X88">+Q11*Q85/100</f>
        <v>642681.9480000001</v>
      </c>
      <c r="R88" s="16">
        <f t="shared" si="24"/>
        <v>823751.387</v>
      </c>
      <c r="S88" s="16">
        <f t="shared" si="24"/>
        <v>43623.772000000004</v>
      </c>
      <c r="T88" s="16">
        <f t="shared" si="24"/>
        <v>0</v>
      </c>
      <c r="U88" s="16">
        <f t="shared" si="24"/>
        <v>6789286.14</v>
      </c>
      <c r="V88" s="16">
        <f t="shared" si="24"/>
        <v>564233.976</v>
      </c>
      <c r="W88" s="16">
        <f t="shared" si="24"/>
        <v>0</v>
      </c>
      <c r="X88" s="16">
        <f t="shared" si="24"/>
        <v>40727.768000000004</v>
      </c>
      <c r="Y88" s="16">
        <f aca="true" t="shared" si="25" ref="Y88:AR88">+Y11*Y85/100</f>
        <v>106713.91399999999</v>
      </c>
      <c r="Z88" s="16">
        <f t="shared" si="25"/>
        <v>483054.555</v>
      </c>
      <c r="AA88" s="16">
        <f t="shared" si="25"/>
        <v>0</v>
      </c>
      <c r="AB88" s="16">
        <f t="shared" si="25"/>
        <v>45872.983</v>
      </c>
      <c r="AC88" s="16">
        <f t="shared" si="25"/>
        <v>242353.1712</v>
      </c>
      <c r="AD88" s="16">
        <f t="shared" si="25"/>
        <v>10446.6953</v>
      </c>
      <c r="AE88" s="16">
        <f t="shared" si="25"/>
        <v>17840.552700000004</v>
      </c>
      <c r="AF88" s="16">
        <f t="shared" si="25"/>
        <v>23075.334</v>
      </c>
      <c r="AG88" s="16">
        <f t="shared" si="25"/>
        <v>21217.658346</v>
      </c>
      <c r="AH88" s="16">
        <f t="shared" si="25"/>
        <v>64724.72986800001</v>
      </c>
      <c r="AI88" s="16">
        <f t="shared" si="25"/>
        <v>9127.055358</v>
      </c>
      <c r="AJ88" s="16">
        <f t="shared" si="25"/>
        <v>40221.984</v>
      </c>
      <c r="AK88" s="16">
        <f t="shared" si="25"/>
        <v>0</v>
      </c>
      <c r="AL88" s="16">
        <f t="shared" si="25"/>
        <v>0</v>
      </c>
      <c r="AM88" s="16">
        <f t="shared" si="25"/>
        <v>0</v>
      </c>
      <c r="AN88" s="16">
        <f t="shared" si="25"/>
        <v>0</v>
      </c>
      <c r="AO88" s="16">
        <f t="shared" si="25"/>
        <v>0</v>
      </c>
      <c r="AP88" s="16">
        <f t="shared" si="25"/>
        <v>0</v>
      </c>
      <c r="AQ88" s="16">
        <f t="shared" si="25"/>
        <v>4692.1</v>
      </c>
      <c r="AR88" s="16">
        <f t="shared" si="25"/>
        <v>60626.0046</v>
      </c>
      <c r="AS88" s="16">
        <f>+AS11*AS85/100</f>
        <v>0</v>
      </c>
      <c r="AT88" s="16">
        <f t="shared" si="8"/>
        <v>12521883.329371998</v>
      </c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</row>
    <row r="89" spans="1:164" ht="12.75">
      <c r="A89" s="30" t="str">
        <f t="shared" si="19"/>
        <v>Óskráð verðbréf með br. tekjum (%)</v>
      </c>
      <c r="B89" s="345"/>
      <c r="C89" s="16">
        <f aca="true" t="shared" si="26" ref="C89:P89">+C12*C85/100</f>
        <v>0</v>
      </c>
      <c r="D89" s="16">
        <f t="shared" si="26"/>
        <v>0</v>
      </c>
      <c r="E89" s="16">
        <f t="shared" si="26"/>
        <v>0</v>
      </c>
      <c r="F89" s="16">
        <f t="shared" si="26"/>
        <v>0</v>
      </c>
      <c r="G89" s="16">
        <f t="shared" si="26"/>
        <v>0</v>
      </c>
      <c r="H89" s="16">
        <f t="shared" si="26"/>
        <v>0</v>
      </c>
      <c r="I89" s="16">
        <f t="shared" si="26"/>
        <v>0</v>
      </c>
      <c r="J89" s="16">
        <f t="shared" si="26"/>
        <v>0</v>
      </c>
      <c r="K89" s="16">
        <f t="shared" si="26"/>
        <v>0</v>
      </c>
      <c r="L89" s="16">
        <f t="shared" si="26"/>
        <v>0</v>
      </c>
      <c r="M89" s="16">
        <f t="shared" si="26"/>
        <v>0</v>
      </c>
      <c r="N89" s="16">
        <f t="shared" si="26"/>
        <v>0</v>
      </c>
      <c r="O89" s="16">
        <f t="shared" si="26"/>
        <v>0</v>
      </c>
      <c r="P89" s="16">
        <f t="shared" si="26"/>
        <v>0</v>
      </c>
      <c r="Q89" s="16">
        <f aca="true" t="shared" si="27" ref="Q89:X89">+Q12*Q85/100</f>
        <v>0</v>
      </c>
      <c r="R89" s="16">
        <f t="shared" si="27"/>
        <v>0</v>
      </c>
      <c r="S89" s="16">
        <f t="shared" si="27"/>
        <v>0</v>
      </c>
      <c r="T89" s="16">
        <f t="shared" si="27"/>
        <v>0</v>
      </c>
      <c r="U89" s="16">
        <f t="shared" si="27"/>
        <v>242474.505</v>
      </c>
      <c r="V89" s="16">
        <f t="shared" si="27"/>
        <v>0</v>
      </c>
      <c r="W89" s="16">
        <f t="shared" si="27"/>
        <v>0</v>
      </c>
      <c r="X89" s="16">
        <f t="shared" si="27"/>
        <v>0</v>
      </c>
      <c r="Y89" s="16">
        <f aca="true" t="shared" si="28" ref="Y89:AR89">+Y12*Y85/100</f>
        <v>0</v>
      </c>
      <c r="Z89" s="16">
        <f t="shared" si="28"/>
        <v>24931.847999999998</v>
      </c>
      <c r="AA89" s="16">
        <f t="shared" si="28"/>
        <v>0</v>
      </c>
      <c r="AB89" s="16">
        <f t="shared" si="28"/>
        <v>0</v>
      </c>
      <c r="AC89" s="16">
        <f t="shared" si="28"/>
        <v>0</v>
      </c>
      <c r="AD89" s="16">
        <f t="shared" si="28"/>
        <v>0</v>
      </c>
      <c r="AE89" s="16">
        <f t="shared" si="28"/>
        <v>0</v>
      </c>
      <c r="AF89" s="16">
        <f t="shared" si="28"/>
        <v>0</v>
      </c>
      <c r="AG89" s="16">
        <f t="shared" si="28"/>
        <v>0</v>
      </c>
      <c r="AH89" s="16">
        <f t="shared" si="28"/>
        <v>0</v>
      </c>
      <c r="AI89" s="16">
        <f t="shared" si="28"/>
        <v>0</v>
      </c>
      <c r="AJ89" s="16">
        <f t="shared" si="28"/>
        <v>2641.0559999999996</v>
      </c>
      <c r="AK89" s="16">
        <f t="shared" si="28"/>
        <v>267.2603</v>
      </c>
      <c r="AL89" s="16">
        <f t="shared" si="28"/>
        <v>0</v>
      </c>
      <c r="AM89" s="16">
        <f t="shared" si="28"/>
        <v>1884.31912</v>
      </c>
      <c r="AN89" s="16">
        <f t="shared" si="28"/>
        <v>2559.219473</v>
      </c>
      <c r="AO89" s="16">
        <f t="shared" si="28"/>
        <v>4734.072078</v>
      </c>
      <c r="AP89" s="16">
        <f t="shared" si="28"/>
        <v>356154.68</v>
      </c>
      <c r="AQ89" s="16">
        <f t="shared" si="28"/>
        <v>0</v>
      </c>
      <c r="AR89" s="16">
        <f t="shared" si="28"/>
        <v>146.7942</v>
      </c>
      <c r="AS89" s="16">
        <f>+AS85*AS12/100</f>
        <v>0</v>
      </c>
      <c r="AT89" s="16">
        <f t="shared" si="8"/>
        <v>635793.754171</v>
      </c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</row>
    <row r="90" spans="1:164" ht="12.75">
      <c r="A90" s="30" t="str">
        <f t="shared" si="19"/>
        <v>Óskráð verðbréf með föst. tekjum (%)</v>
      </c>
      <c r="B90" s="345"/>
      <c r="C90" s="16">
        <f aca="true" t="shared" si="29" ref="C90:P90">+C13*C85/100</f>
        <v>0</v>
      </c>
      <c r="D90" s="16">
        <f t="shared" si="29"/>
        <v>0</v>
      </c>
      <c r="E90" s="16">
        <f t="shared" si="29"/>
        <v>0</v>
      </c>
      <c r="F90" s="16">
        <f t="shared" si="29"/>
        <v>165151.008</v>
      </c>
      <c r="G90" s="16">
        <f t="shared" si="29"/>
        <v>0</v>
      </c>
      <c r="H90" s="16">
        <f t="shared" si="29"/>
        <v>0</v>
      </c>
      <c r="I90" s="16">
        <f t="shared" si="29"/>
        <v>0</v>
      </c>
      <c r="J90" s="16">
        <f t="shared" si="29"/>
        <v>0</v>
      </c>
      <c r="K90" s="16">
        <f t="shared" si="29"/>
        <v>0</v>
      </c>
      <c r="L90" s="16">
        <f t="shared" si="29"/>
        <v>0</v>
      </c>
      <c r="M90" s="16">
        <f t="shared" si="29"/>
        <v>0</v>
      </c>
      <c r="N90" s="16">
        <f t="shared" si="29"/>
        <v>0</v>
      </c>
      <c r="O90" s="16">
        <f t="shared" si="29"/>
        <v>0</v>
      </c>
      <c r="P90" s="16">
        <f t="shared" si="29"/>
        <v>0</v>
      </c>
      <c r="Q90" s="16">
        <f aca="true" t="shared" si="30" ref="Q90:X90">+Q13*Q85/100</f>
        <v>85174.71600000001</v>
      </c>
      <c r="R90" s="16">
        <f t="shared" si="30"/>
        <v>481816.849</v>
      </c>
      <c r="S90" s="16">
        <f t="shared" si="30"/>
        <v>26403.861999999997</v>
      </c>
      <c r="T90" s="16">
        <f t="shared" si="30"/>
        <v>0</v>
      </c>
      <c r="U90" s="16">
        <f t="shared" si="30"/>
        <v>2163618.66</v>
      </c>
      <c r="V90" s="16">
        <f t="shared" si="30"/>
        <v>7613.352000000001</v>
      </c>
      <c r="W90" s="16">
        <f t="shared" si="30"/>
        <v>0</v>
      </c>
      <c r="X90" s="16">
        <f t="shared" si="30"/>
        <v>0</v>
      </c>
      <c r="Y90" s="16">
        <f aca="true" t="shared" si="31" ref="Y90:AR90">+Y13*Y85/100</f>
        <v>0</v>
      </c>
      <c r="Z90" s="16">
        <f t="shared" si="31"/>
        <v>48824.869000000006</v>
      </c>
      <c r="AA90" s="16">
        <f t="shared" si="31"/>
        <v>0</v>
      </c>
      <c r="AB90" s="16">
        <f t="shared" si="31"/>
        <v>0</v>
      </c>
      <c r="AC90" s="16">
        <f t="shared" si="31"/>
        <v>0</v>
      </c>
      <c r="AD90" s="16">
        <f t="shared" si="31"/>
        <v>0</v>
      </c>
      <c r="AE90" s="16">
        <f t="shared" si="31"/>
        <v>0</v>
      </c>
      <c r="AF90" s="16">
        <f t="shared" si="31"/>
        <v>0</v>
      </c>
      <c r="AG90" s="16">
        <f t="shared" si="31"/>
        <v>0</v>
      </c>
      <c r="AH90" s="16">
        <f t="shared" si="31"/>
        <v>0</v>
      </c>
      <c r="AI90" s="16">
        <f t="shared" si="31"/>
        <v>8112.938096000001</v>
      </c>
      <c r="AJ90" s="16">
        <f t="shared" si="31"/>
        <v>0</v>
      </c>
      <c r="AK90" s="16">
        <f t="shared" si="31"/>
        <v>0</v>
      </c>
      <c r="AL90" s="16">
        <f t="shared" si="31"/>
        <v>0</v>
      </c>
      <c r="AM90" s="16">
        <f t="shared" si="31"/>
        <v>0</v>
      </c>
      <c r="AN90" s="16">
        <f t="shared" si="31"/>
        <v>0</v>
      </c>
      <c r="AO90" s="16">
        <f t="shared" si="31"/>
        <v>0</v>
      </c>
      <c r="AP90" s="16">
        <f t="shared" si="31"/>
        <v>0</v>
      </c>
      <c r="AQ90" s="16">
        <f t="shared" si="31"/>
        <v>0</v>
      </c>
      <c r="AR90" s="16">
        <f t="shared" si="31"/>
        <v>3816.6492000000003</v>
      </c>
      <c r="AS90" s="16">
        <f>+AS85*AS13/100</f>
        <v>0</v>
      </c>
      <c r="AT90" s="16">
        <f t="shared" si="8"/>
        <v>2990532.903296</v>
      </c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</row>
    <row r="91" spans="1:164" ht="12.75">
      <c r="A91" s="30" t="str">
        <f t="shared" si="19"/>
        <v>Veðlán (%)</v>
      </c>
      <c r="B91" s="345"/>
      <c r="C91" s="16">
        <f aca="true" t="shared" si="32" ref="C91:P91">+C14*C85/100</f>
        <v>0</v>
      </c>
      <c r="D91" s="16">
        <f t="shared" si="32"/>
        <v>0</v>
      </c>
      <c r="E91" s="16">
        <f t="shared" si="32"/>
        <v>0</v>
      </c>
      <c r="F91" s="16">
        <f t="shared" si="32"/>
        <v>350945.89199999993</v>
      </c>
      <c r="G91" s="16">
        <f t="shared" si="32"/>
        <v>0</v>
      </c>
      <c r="H91" s="16">
        <f t="shared" si="32"/>
        <v>0</v>
      </c>
      <c r="I91" s="16">
        <f t="shared" si="32"/>
        <v>0</v>
      </c>
      <c r="J91" s="16">
        <f t="shared" si="32"/>
        <v>0</v>
      </c>
      <c r="K91" s="16">
        <f t="shared" si="32"/>
        <v>0</v>
      </c>
      <c r="L91" s="16">
        <f t="shared" si="32"/>
        <v>70036.912</v>
      </c>
      <c r="M91" s="16">
        <f t="shared" si="32"/>
        <v>472522.925</v>
      </c>
      <c r="N91" s="16">
        <f t="shared" si="32"/>
        <v>0</v>
      </c>
      <c r="O91" s="16">
        <f t="shared" si="32"/>
        <v>0</v>
      </c>
      <c r="P91" s="16">
        <f t="shared" si="32"/>
        <v>0</v>
      </c>
      <c r="Q91" s="16">
        <f aca="true" t="shared" si="33" ref="Q91:X91">+Q14*Q85/100</f>
        <v>162606.276</v>
      </c>
      <c r="R91" s="16">
        <f t="shared" si="33"/>
        <v>1025803.614</v>
      </c>
      <c r="S91" s="16">
        <f t="shared" si="33"/>
        <v>51659.73</v>
      </c>
      <c r="T91" s="16">
        <f t="shared" si="33"/>
        <v>0</v>
      </c>
      <c r="U91" s="16">
        <f t="shared" si="33"/>
        <v>205170.735</v>
      </c>
      <c r="V91" s="16">
        <f t="shared" si="33"/>
        <v>0</v>
      </c>
      <c r="W91" s="16">
        <f t="shared" si="33"/>
        <v>0</v>
      </c>
      <c r="X91" s="16">
        <f t="shared" si="33"/>
        <v>34103.372</v>
      </c>
      <c r="Y91" s="16">
        <f aca="true" t="shared" si="34" ref="Y91:AR91">+Y14*Y85/100</f>
        <v>91639.08600000001</v>
      </c>
      <c r="Z91" s="16">
        <f t="shared" si="34"/>
        <v>207765.4</v>
      </c>
      <c r="AA91" s="16">
        <f t="shared" si="34"/>
        <v>0</v>
      </c>
      <c r="AB91" s="16">
        <f t="shared" si="34"/>
        <v>0</v>
      </c>
      <c r="AC91" s="16">
        <f t="shared" si="34"/>
        <v>0</v>
      </c>
      <c r="AD91" s="16">
        <f t="shared" si="34"/>
        <v>0</v>
      </c>
      <c r="AE91" s="16">
        <f t="shared" si="34"/>
        <v>0</v>
      </c>
      <c r="AF91" s="16">
        <f t="shared" si="34"/>
        <v>0</v>
      </c>
      <c r="AG91" s="16">
        <f t="shared" si="34"/>
        <v>0</v>
      </c>
      <c r="AH91" s="16">
        <f t="shared" si="34"/>
        <v>0</v>
      </c>
      <c r="AI91" s="16">
        <f t="shared" si="34"/>
        <v>0</v>
      </c>
      <c r="AJ91" s="16">
        <f t="shared" si="34"/>
        <v>0</v>
      </c>
      <c r="AK91" s="16">
        <f t="shared" si="34"/>
        <v>0</v>
      </c>
      <c r="AL91" s="16">
        <f t="shared" si="34"/>
        <v>0</v>
      </c>
      <c r="AM91" s="16">
        <f t="shared" si="34"/>
        <v>0</v>
      </c>
      <c r="AN91" s="16">
        <f t="shared" si="34"/>
        <v>0</v>
      </c>
      <c r="AO91" s="16">
        <f t="shared" si="34"/>
        <v>0</v>
      </c>
      <c r="AP91" s="16">
        <f t="shared" si="34"/>
        <v>0</v>
      </c>
      <c r="AQ91" s="16">
        <f t="shared" si="34"/>
        <v>0</v>
      </c>
      <c r="AR91" s="16">
        <f t="shared" si="34"/>
        <v>81470.781</v>
      </c>
      <c r="AS91" s="16">
        <f>+AS85*AS14/100</f>
        <v>0</v>
      </c>
      <c r="AT91" s="16">
        <f t="shared" si="8"/>
        <v>2753724.7229999998</v>
      </c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</row>
    <row r="92" spans="1:164" ht="12.75">
      <c r="A92" s="30" t="str">
        <f t="shared" si="19"/>
        <v>Annað (%)</v>
      </c>
      <c r="B92" s="345"/>
      <c r="C92" s="16">
        <f aca="true" t="shared" si="35" ref="C92:P92">+C15*C85/100</f>
        <v>0</v>
      </c>
      <c r="D92" s="16">
        <f t="shared" si="35"/>
        <v>0</v>
      </c>
      <c r="E92" s="16">
        <f t="shared" si="35"/>
        <v>0</v>
      </c>
      <c r="F92" s="16">
        <f t="shared" si="35"/>
        <v>0</v>
      </c>
      <c r="G92" s="16">
        <f t="shared" si="35"/>
        <v>0</v>
      </c>
      <c r="H92" s="16">
        <f t="shared" si="35"/>
        <v>0</v>
      </c>
      <c r="I92" s="16">
        <f t="shared" si="35"/>
        <v>0</v>
      </c>
      <c r="J92" s="16">
        <f t="shared" si="35"/>
        <v>0</v>
      </c>
      <c r="K92" s="16">
        <f t="shared" si="35"/>
        <v>15156</v>
      </c>
      <c r="L92" s="16">
        <f t="shared" si="35"/>
        <v>0</v>
      </c>
      <c r="M92" s="16">
        <f t="shared" si="35"/>
        <v>0</v>
      </c>
      <c r="N92" s="16">
        <f t="shared" si="35"/>
        <v>15875.313999999998</v>
      </c>
      <c r="O92" s="16">
        <f t="shared" si="35"/>
        <v>64519.2</v>
      </c>
      <c r="P92" s="16">
        <f t="shared" si="35"/>
        <v>0</v>
      </c>
      <c r="Q92" s="16">
        <f aca="true" t="shared" si="36" ref="Q92:X92">+Q15*Q85/100</f>
        <v>0</v>
      </c>
      <c r="R92" s="16">
        <f t="shared" si="36"/>
        <v>0</v>
      </c>
      <c r="S92" s="16">
        <f t="shared" si="36"/>
        <v>0</v>
      </c>
      <c r="T92" s="16">
        <f t="shared" si="36"/>
        <v>634566</v>
      </c>
      <c r="U92" s="16">
        <f t="shared" si="36"/>
        <v>0</v>
      </c>
      <c r="V92" s="16">
        <f t="shared" si="36"/>
        <v>0</v>
      </c>
      <c r="W92" s="16">
        <f t="shared" si="36"/>
        <v>2882989</v>
      </c>
      <c r="X92" s="16">
        <f t="shared" si="36"/>
        <v>0</v>
      </c>
      <c r="Y92" s="16">
        <f aca="true" t="shared" si="37" ref="Y92:AR92">+Y15*Y85/100</f>
        <v>0</v>
      </c>
      <c r="Z92" s="16">
        <f t="shared" si="37"/>
        <v>12465.923999999999</v>
      </c>
      <c r="AA92" s="16">
        <f t="shared" si="37"/>
        <v>0</v>
      </c>
      <c r="AB92" s="16">
        <f t="shared" si="37"/>
        <v>0</v>
      </c>
      <c r="AC92" s="16">
        <f t="shared" si="37"/>
        <v>73759.6608</v>
      </c>
      <c r="AD92" s="16">
        <f t="shared" si="37"/>
        <v>0</v>
      </c>
      <c r="AE92" s="16">
        <f t="shared" si="37"/>
        <v>0</v>
      </c>
      <c r="AF92" s="16">
        <f t="shared" si="37"/>
        <v>0</v>
      </c>
      <c r="AG92" s="16">
        <f t="shared" si="37"/>
        <v>0</v>
      </c>
      <c r="AH92" s="16">
        <f t="shared" si="37"/>
        <v>0</v>
      </c>
      <c r="AI92" s="16">
        <f t="shared" si="37"/>
        <v>0</v>
      </c>
      <c r="AJ92" s="16">
        <f t="shared" si="37"/>
        <v>4546.08</v>
      </c>
      <c r="AK92" s="16">
        <f t="shared" si="37"/>
        <v>355.12669999999997</v>
      </c>
      <c r="AL92" s="16">
        <f t="shared" si="37"/>
        <v>0</v>
      </c>
      <c r="AM92" s="16">
        <f t="shared" si="37"/>
        <v>0</v>
      </c>
      <c r="AN92" s="16">
        <f t="shared" si="37"/>
        <v>0</v>
      </c>
      <c r="AO92" s="16">
        <f t="shared" si="37"/>
        <v>0</v>
      </c>
      <c r="AP92" s="16">
        <f t="shared" si="37"/>
        <v>0</v>
      </c>
      <c r="AQ92" s="16">
        <f t="shared" si="37"/>
        <v>0</v>
      </c>
      <c r="AR92" s="16">
        <f t="shared" si="37"/>
        <v>0</v>
      </c>
      <c r="AS92" s="16">
        <f>+AS85*AS26/100</f>
        <v>0</v>
      </c>
      <c r="AT92" s="16">
        <f t="shared" si="8"/>
        <v>3704232.3055000002</v>
      </c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</row>
    <row r="93" spans="1:50" ht="12.75">
      <c r="A93" s="30" t="str">
        <f t="shared" si="19"/>
        <v>          Samtals:                                       </v>
      </c>
      <c r="B93" s="345"/>
      <c r="C93" s="16">
        <f aca="true" t="shared" si="38" ref="C93:AB93">SUM(C87:C92)</f>
        <v>1673303</v>
      </c>
      <c r="D93" s="16">
        <f t="shared" si="38"/>
        <v>398903</v>
      </c>
      <c r="E93" s="16">
        <f t="shared" si="38"/>
        <v>0</v>
      </c>
      <c r="F93" s="16">
        <f t="shared" si="38"/>
        <v>1876716</v>
      </c>
      <c r="G93" s="16">
        <f t="shared" si="38"/>
        <v>198667.868</v>
      </c>
      <c r="H93" s="30">
        <f t="shared" si="38"/>
        <v>416295</v>
      </c>
      <c r="I93" s="16">
        <f t="shared" si="38"/>
        <v>104662.99999999999</v>
      </c>
      <c r="J93" s="16">
        <f t="shared" si="38"/>
        <v>6012</v>
      </c>
      <c r="K93" s="16">
        <f t="shared" si="38"/>
        <v>15156</v>
      </c>
      <c r="L93" s="16">
        <f t="shared" si="38"/>
        <v>182864</v>
      </c>
      <c r="M93" s="16">
        <f t="shared" si="38"/>
        <v>821779</v>
      </c>
      <c r="N93" s="16">
        <f t="shared" si="38"/>
        <v>174454</v>
      </c>
      <c r="O93" s="16">
        <f t="shared" si="38"/>
        <v>444960.00000000006</v>
      </c>
      <c r="P93" s="16">
        <f t="shared" si="38"/>
        <v>129914</v>
      </c>
      <c r="Q93" s="16">
        <f>SUM(Q87:Q92)</f>
        <v>3871578.0000000005</v>
      </c>
      <c r="R93" s="16">
        <f>SUM(R87:R92)</f>
        <v>15542479</v>
      </c>
      <c r="S93" s="16">
        <f>SUM(S87:S92)</f>
        <v>1147994</v>
      </c>
      <c r="T93" s="16">
        <f>SUM(T87:T92)</f>
        <v>634566</v>
      </c>
      <c r="U93" s="16">
        <f t="shared" si="38"/>
        <v>18651885</v>
      </c>
      <c r="V93" s="16">
        <f t="shared" si="38"/>
        <v>845928</v>
      </c>
      <c r="W93" s="16">
        <f t="shared" si="38"/>
        <v>2882989</v>
      </c>
      <c r="X93" s="16">
        <f t="shared" si="38"/>
        <v>122674</v>
      </c>
      <c r="Y93" s="16">
        <f t="shared" si="38"/>
        <v>198353</v>
      </c>
      <c r="Z93" s="16">
        <f t="shared" si="38"/>
        <v>1038827</v>
      </c>
      <c r="AA93" s="16">
        <f t="shared" si="38"/>
        <v>30065</v>
      </c>
      <c r="AB93" s="16">
        <f t="shared" si="38"/>
        <v>102167</v>
      </c>
      <c r="AC93" s="16">
        <f aca="true" t="shared" si="39" ref="AC93:AR93">SUM(AC87:AC92)</f>
        <v>470406</v>
      </c>
      <c r="AD93" s="16">
        <f t="shared" si="39"/>
        <v>15311</v>
      </c>
      <c r="AE93" s="16">
        <f t="shared" si="39"/>
        <v>41403</v>
      </c>
      <c r="AF93" s="16">
        <f t="shared" si="39"/>
        <v>34857</v>
      </c>
      <c r="AG93" s="16">
        <f t="shared" si="39"/>
        <v>2357517.594</v>
      </c>
      <c r="AH93" s="16">
        <f t="shared" si="39"/>
        <v>3595818.326000001</v>
      </c>
      <c r="AI93" s="16">
        <f t="shared" si="39"/>
        <v>1014117.262</v>
      </c>
      <c r="AJ93" s="30">
        <f t="shared" si="39"/>
        <v>216480</v>
      </c>
      <c r="AK93" s="30">
        <f t="shared" si="39"/>
        <v>36611</v>
      </c>
      <c r="AL93" s="30">
        <f t="shared" si="39"/>
        <v>0</v>
      </c>
      <c r="AM93" s="16">
        <f t="shared" si="39"/>
        <v>471079.77999999997</v>
      </c>
      <c r="AN93" s="16">
        <f t="shared" si="39"/>
        <v>2559219.473</v>
      </c>
      <c r="AO93" s="16">
        <f t="shared" si="39"/>
        <v>1578024.0260000003</v>
      </c>
      <c r="AP93" s="16">
        <f t="shared" si="39"/>
        <v>356154.68</v>
      </c>
      <c r="AQ93" s="16">
        <f t="shared" si="39"/>
        <v>6703</v>
      </c>
      <c r="AR93" s="16">
        <f t="shared" si="39"/>
        <v>1468088.7942000001</v>
      </c>
      <c r="AS93" s="16">
        <f>SUM(AS87:AS92)</f>
        <v>0</v>
      </c>
      <c r="AT93" s="16">
        <f t="shared" si="8"/>
        <v>65734982.8032</v>
      </c>
      <c r="AV93" s="16"/>
      <c r="AW93" s="16"/>
      <c r="AX93" s="16"/>
    </row>
    <row r="94" spans="3:49" ht="12.75">
      <c r="C94" s="16"/>
      <c r="D94" s="16"/>
      <c r="E94" s="30"/>
      <c r="F94" s="16"/>
      <c r="G94" s="16"/>
      <c r="H94" s="30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30"/>
      <c r="AA94" s="16"/>
      <c r="AB94" s="16"/>
      <c r="AC94" s="30"/>
      <c r="AD94" s="16"/>
      <c r="AE94" s="16"/>
      <c r="AF94" s="16"/>
      <c r="AG94" s="16"/>
      <c r="AH94" s="30"/>
      <c r="AI94" s="16"/>
      <c r="AJ94" s="30"/>
      <c r="AK94" s="30"/>
      <c r="AL94" s="30"/>
      <c r="AM94" s="16"/>
      <c r="AN94" s="16"/>
      <c r="AO94" s="16"/>
      <c r="AP94" s="16"/>
      <c r="AQ94" s="30"/>
      <c r="AR94" s="16"/>
      <c r="AS94" s="16"/>
      <c r="AT94" s="16"/>
      <c r="AU94" s="16"/>
      <c r="AV94" s="16"/>
      <c r="AW94" s="16"/>
    </row>
    <row r="95" spans="3:49" ht="12.75">
      <c r="C95" s="82"/>
      <c r="D95" s="82"/>
      <c r="E95" s="82"/>
      <c r="F95" s="82"/>
      <c r="G95" s="82"/>
      <c r="H95" s="106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106"/>
      <c r="AK95" s="106"/>
      <c r="AL95" s="106"/>
      <c r="AM95" s="82"/>
      <c r="AN95" s="82"/>
      <c r="AO95" s="82"/>
      <c r="AP95" s="82"/>
      <c r="AQ95" s="82"/>
      <c r="AR95" s="82"/>
      <c r="AS95" s="82"/>
      <c r="AT95" s="16"/>
      <c r="AU95" s="82"/>
      <c r="AV95" s="82"/>
      <c r="AW95" s="82"/>
    </row>
    <row r="96" spans="3:49" ht="12.75">
      <c r="C96" s="82"/>
      <c r="D96" s="82"/>
      <c r="E96" s="82"/>
      <c r="F96" s="82"/>
      <c r="G96" s="82"/>
      <c r="H96" s="106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106"/>
      <c r="AK96" s="106"/>
      <c r="AL96" s="106"/>
      <c r="AM96" s="82"/>
      <c r="AN96" s="82"/>
      <c r="AO96" s="82"/>
      <c r="AP96" s="82"/>
      <c r="AQ96" s="82"/>
      <c r="AR96" s="82"/>
      <c r="AS96" s="82"/>
      <c r="AT96" s="16"/>
      <c r="AU96" s="82"/>
      <c r="AV96" s="82"/>
      <c r="AW96" s="82"/>
    </row>
    <row r="97" spans="1:49" ht="12.75">
      <c r="A97" s="37" t="s">
        <v>391</v>
      </c>
      <c r="B97" s="338"/>
      <c r="C97" s="82"/>
      <c r="D97" s="82"/>
      <c r="E97" s="82"/>
      <c r="F97" s="82"/>
      <c r="G97" s="82"/>
      <c r="H97" s="106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106"/>
      <c r="AK97" s="106"/>
      <c r="AL97" s="106"/>
      <c r="AM97" s="82"/>
      <c r="AN97" s="82"/>
      <c r="AO97" s="82"/>
      <c r="AP97" s="82"/>
      <c r="AQ97" s="82"/>
      <c r="AR97" s="82"/>
      <c r="AS97" s="82"/>
      <c r="AT97" s="16"/>
      <c r="AU97" s="82"/>
      <c r="AV97" s="82"/>
      <c r="AW97" s="82"/>
    </row>
    <row r="98" spans="1:49" ht="12.75">
      <c r="A98" s="30" t="str">
        <f>+A17</f>
        <v>Eignir í ísl. kr. (%)</v>
      </c>
      <c r="B98" s="345"/>
      <c r="C98" s="16">
        <f aca="true" t="shared" si="40" ref="C98:AR98">+C85*C17/100</f>
        <v>1129479.525</v>
      </c>
      <c r="D98" s="16">
        <f t="shared" si="40"/>
        <v>331089.49</v>
      </c>
      <c r="E98" s="16">
        <f t="shared" si="40"/>
        <v>207926</v>
      </c>
      <c r="F98" s="16">
        <f t="shared" si="40"/>
        <v>1435687.74</v>
      </c>
      <c r="G98" s="16">
        <f t="shared" si="40"/>
        <v>179159.4</v>
      </c>
      <c r="H98" s="16">
        <f t="shared" si="40"/>
        <v>353850.75</v>
      </c>
      <c r="I98" s="16">
        <f t="shared" si="40"/>
        <v>71170.84</v>
      </c>
      <c r="J98" s="16">
        <f t="shared" si="40"/>
        <v>5350.68</v>
      </c>
      <c r="K98" s="16">
        <f t="shared" si="40"/>
        <v>15156</v>
      </c>
      <c r="L98" s="16">
        <f t="shared" si="40"/>
        <v>118861.6</v>
      </c>
      <c r="M98" s="16">
        <f t="shared" si="40"/>
        <v>821779</v>
      </c>
      <c r="N98" s="16">
        <f t="shared" si="40"/>
        <v>158753.14</v>
      </c>
      <c r="O98" s="16">
        <f t="shared" si="40"/>
        <v>331940.16</v>
      </c>
      <c r="P98" s="16">
        <f t="shared" si="40"/>
        <v>106893.2392</v>
      </c>
      <c r="Q98" s="16">
        <f t="shared" si="40"/>
        <v>2319075.222</v>
      </c>
      <c r="R98" s="16">
        <f t="shared" si="40"/>
        <v>10739852.988999998</v>
      </c>
      <c r="S98" s="16">
        <f t="shared" si="40"/>
        <v>973498.912</v>
      </c>
      <c r="T98" s="16">
        <f t="shared" si="40"/>
        <v>634566</v>
      </c>
      <c r="U98" s="16">
        <f t="shared" si="40"/>
        <v>11862598.86</v>
      </c>
      <c r="V98" s="16">
        <f t="shared" si="40"/>
        <v>750338.136</v>
      </c>
      <c r="W98" s="16">
        <f t="shared" si="40"/>
        <v>2882989</v>
      </c>
      <c r="X98" s="16">
        <f t="shared" si="40"/>
        <v>79738.1</v>
      </c>
      <c r="Y98" s="16">
        <f t="shared" si="40"/>
        <v>198353</v>
      </c>
      <c r="Z98" s="16">
        <f t="shared" si="40"/>
        <v>1010778.671</v>
      </c>
      <c r="AA98" s="16">
        <f t="shared" si="40"/>
        <v>26757.85</v>
      </c>
      <c r="AB98" s="16">
        <f t="shared" si="40"/>
        <v>93993.64</v>
      </c>
      <c r="AC98" s="16">
        <f t="shared" si="40"/>
        <v>470406</v>
      </c>
      <c r="AD98" s="16">
        <f t="shared" si="40"/>
        <v>12950.0438</v>
      </c>
      <c r="AE98" s="16">
        <f t="shared" si="40"/>
        <v>26713.2156</v>
      </c>
      <c r="AF98" s="16">
        <f t="shared" si="40"/>
        <v>25898.751</v>
      </c>
      <c r="AG98" s="16">
        <f t="shared" si="40"/>
        <v>1638474.72783</v>
      </c>
      <c r="AH98" s="16">
        <f t="shared" si="40"/>
        <v>2847888.1141920006</v>
      </c>
      <c r="AI98" s="16">
        <f t="shared" si="40"/>
        <v>926903.1774680001</v>
      </c>
      <c r="AJ98" s="16">
        <f t="shared" si="40"/>
        <v>175781.76</v>
      </c>
      <c r="AK98" s="16">
        <f t="shared" si="40"/>
        <v>31412.237999999998</v>
      </c>
      <c r="AL98" s="16">
        <f t="shared" si="40"/>
        <v>0</v>
      </c>
      <c r="AM98" s="16">
        <f t="shared" si="40"/>
        <v>386238.31162199995</v>
      </c>
      <c r="AN98" s="16">
        <f t="shared" si="40"/>
        <v>1777633.8459458</v>
      </c>
      <c r="AO98" s="16">
        <f t="shared" si="40"/>
        <v>921408.2287814</v>
      </c>
      <c r="AP98" s="16">
        <f t="shared" si="40"/>
        <v>356154.68</v>
      </c>
      <c r="AQ98" s="16">
        <f t="shared" si="40"/>
        <v>5898.64</v>
      </c>
      <c r="AR98" s="16">
        <f t="shared" si="40"/>
        <v>1320120.2406000001</v>
      </c>
      <c r="AS98" s="16"/>
      <c r="AT98" s="16">
        <f t="shared" si="8"/>
        <v>47763519.9190392</v>
      </c>
      <c r="AU98" s="16"/>
      <c r="AV98" s="16"/>
      <c r="AW98" s="16"/>
    </row>
    <row r="99" spans="1:49" ht="12.75">
      <c r="A99" s="30" t="str">
        <f>+A18</f>
        <v>Eignir í erl. gjaldmiðlum (%)</v>
      </c>
      <c r="B99" s="345"/>
      <c r="C99" s="16">
        <f>+C85*C18/100</f>
        <v>543823.475</v>
      </c>
      <c r="D99" s="16">
        <f aca="true" t="shared" si="41" ref="D99:K99">+D85*D18/100</f>
        <v>67813.51</v>
      </c>
      <c r="E99" s="16">
        <f t="shared" si="41"/>
        <v>0</v>
      </c>
      <c r="F99" s="16">
        <f t="shared" si="41"/>
        <v>441028.26</v>
      </c>
      <c r="G99" s="16">
        <f t="shared" si="41"/>
        <v>19906.6</v>
      </c>
      <c r="H99" s="16">
        <f t="shared" si="41"/>
        <v>62444.25</v>
      </c>
      <c r="I99" s="16">
        <f t="shared" si="41"/>
        <v>33492.16</v>
      </c>
      <c r="J99" s="16">
        <f t="shared" si="41"/>
        <v>661.32</v>
      </c>
      <c r="K99" s="16">
        <f t="shared" si="41"/>
        <v>0</v>
      </c>
      <c r="L99" s="16">
        <f aca="true" t="shared" si="42" ref="L99:AR99">+L85*L18/100</f>
        <v>64002.4</v>
      </c>
      <c r="M99" s="16">
        <f t="shared" si="42"/>
        <v>0</v>
      </c>
      <c r="N99" s="16">
        <f t="shared" si="42"/>
        <v>15700.86</v>
      </c>
      <c r="O99" s="16">
        <f t="shared" si="42"/>
        <v>113019.84</v>
      </c>
      <c r="P99" s="16">
        <f t="shared" si="42"/>
        <v>23020.7608</v>
      </c>
      <c r="Q99" s="16">
        <f t="shared" si="42"/>
        <v>1552502.7780000002</v>
      </c>
      <c r="R99" s="16">
        <f t="shared" si="42"/>
        <v>4802626.011</v>
      </c>
      <c r="S99" s="16">
        <f t="shared" si="42"/>
        <v>174495.08800000002</v>
      </c>
      <c r="T99" s="16">
        <f t="shared" si="42"/>
        <v>0</v>
      </c>
      <c r="U99" s="16">
        <f t="shared" si="42"/>
        <v>6789286.14</v>
      </c>
      <c r="V99" s="16">
        <f t="shared" si="42"/>
        <v>95589.864</v>
      </c>
      <c r="W99" s="16">
        <f t="shared" si="42"/>
        <v>0</v>
      </c>
      <c r="X99" s="16">
        <f t="shared" si="42"/>
        <v>42935.9</v>
      </c>
      <c r="Y99" s="16">
        <f t="shared" si="42"/>
        <v>0</v>
      </c>
      <c r="Z99" s="16">
        <f t="shared" si="42"/>
        <v>28048.329000000005</v>
      </c>
      <c r="AA99" s="16">
        <f t="shared" si="42"/>
        <v>3307.15</v>
      </c>
      <c r="AB99" s="16">
        <f t="shared" si="42"/>
        <v>8173.36</v>
      </c>
      <c r="AC99" s="16">
        <f t="shared" si="42"/>
        <v>0</v>
      </c>
      <c r="AD99" s="16">
        <f t="shared" si="42"/>
        <v>2360.9562</v>
      </c>
      <c r="AE99" s="16">
        <f t="shared" si="42"/>
        <v>14689.784399999999</v>
      </c>
      <c r="AF99" s="16">
        <f t="shared" si="42"/>
        <v>8958.249</v>
      </c>
      <c r="AG99" s="16">
        <f t="shared" si="42"/>
        <v>719042.8661699999</v>
      </c>
      <c r="AH99" s="16">
        <f t="shared" si="42"/>
        <v>747930.2118080001</v>
      </c>
      <c r="AI99" s="16">
        <f t="shared" si="42"/>
        <v>87214.084532</v>
      </c>
      <c r="AJ99" s="16">
        <f t="shared" si="42"/>
        <v>40698.24</v>
      </c>
      <c r="AK99" s="16">
        <f t="shared" si="42"/>
        <v>5198.762</v>
      </c>
      <c r="AL99" s="16">
        <f t="shared" si="42"/>
        <v>0</v>
      </c>
      <c r="AM99" s="16">
        <f t="shared" si="42"/>
        <v>84841.46837800002</v>
      </c>
      <c r="AN99" s="16">
        <f t="shared" si="42"/>
        <v>781585.6270542</v>
      </c>
      <c r="AO99" s="16">
        <f t="shared" si="42"/>
        <v>656615.7972185999</v>
      </c>
      <c r="AP99" s="16">
        <f t="shared" si="42"/>
        <v>0</v>
      </c>
      <c r="AQ99" s="16">
        <f t="shared" si="42"/>
        <v>804.36</v>
      </c>
      <c r="AR99" s="16">
        <f t="shared" si="42"/>
        <v>147821.7594</v>
      </c>
      <c r="AS99" s="16"/>
      <c r="AT99" s="16">
        <f t="shared" si="8"/>
        <v>18179640.221960798</v>
      </c>
      <c r="AU99" s="16"/>
      <c r="AV99" s="16"/>
      <c r="AW99" s="16"/>
    </row>
    <row r="100" spans="1:49" ht="12.75">
      <c r="A100" s="30" t="str">
        <f>+A19</f>
        <v>          Samtals:                                      </v>
      </c>
      <c r="B100" s="345"/>
      <c r="C100" s="16">
        <f aca="true" t="shared" si="43" ref="C100:AR100">SUM(C98:C99)</f>
        <v>1673303</v>
      </c>
      <c r="D100" s="16">
        <f t="shared" si="43"/>
        <v>398903</v>
      </c>
      <c r="E100" s="16">
        <f t="shared" si="43"/>
        <v>207926</v>
      </c>
      <c r="F100" s="16">
        <f t="shared" si="43"/>
        <v>1876716</v>
      </c>
      <c r="G100" s="16">
        <f t="shared" si="43"/>
        <v>199066</v>
      </c>
      <c r="H100" s="16">
        <f t="shared" si="43"/>
        <v>416295</v>
      </c>
      <c r="I100" s="16">
        <f t="shared" si="43"/>
        <v>104663</v>
      </c>
      <c r="J100" s="16">
        <f t="shared" si="43"/>
        <v>6012</v>
      </c>
      <c r="K100" s="16">
        <f t="shared" si="43"/>
        <v>15156</v>
      </c>
      <c r="L100" s="16">
        <f t="shared" si="43"/>
        <v>182864</v>
      </c>
      <c r="M100" s="16">
        <f t="shared" si="43"/>
        <v>821779</v>
      </c>
      <c r="N100" s="16">
        <f t="shared" si="43"/>
        <v>174454</v>
      </c>
      <c r="O100" s="16">
        <f t="shared" si="43"/>
        <v>444960</v>
      </c>
      <c r="P100" s="16">
        <f t="shared" si="43"/>
        <v>129914</v>
      </c>
      <c r="Q100" s="16">
        <f t="shared" si="43"/>
        <v>3871578</v>
      </c>
      <c r="R100" s="16">
        <f t="shared" si="43"/>
        <v>15542478.999999998</v>
      </c>
      <c r="S100" s="16">
        <f t="shared" si="43"/>
        <v>1147994</v>
      </c>
      <c r="T100" s="16">
        <f t="shared" si="43"/>
        <v>634566</v>
      </c>
      <c r="U100" s="16">
        <f t="shared" si="43"/>
        <v>18651885</v>
      </c>
      <c r="V100" s="16">
        <f t="shared" si="43"/>
        <v>845928</v>
      </c>
      <c r="W100" s="16">
        <f t="shared" si="43"/>
        <v>2882989</v>
      </c>
      <c r="X100" s="16">
        <f t="shared" si="43"/>
        <v>122674</v>
      </c>
      <c r="Y100" s="16">
        <f t="shared" si="43"/>
        <v>198353</v>
      </c>
      <c r="Z100" s="16">
        <f t="shared" si="43"/>
        <v>1038827</v>
      </c>
      <c r="AA100" s="16">
        <f t="shared" si="43"/>
        <v>30065</v>
      </c>
      <c r="AB100" s="16">
        <f t="shared" si="43"/>
        <v>102167</v>
      </c>
      <c r="AC100" s="16">
        <f t="shared" si="43"/>
        <v>470406</v>
      </c>
      <c r="AD100" s="16">
        <f t="shared" si="43"/>
        <v>15311</v>
      </c>
      <c r="AE100" s="16">
        <f t="shared" si="43"/>
        <v>41403</v>
      </c>
      <c r="AF100" s="16">
        <f t="shared" si="43"/>
        <v>34857</v>
      </c>
      <c r="AG100" s="16">
        <f t="shared" si="43"/>
        <v>2357517.594</v>
      </c>
      <c r="AH100" s="16">
        <f t="shared" si="43"/>
        <v>3595818.326000001</v>
      </c>
      <c r="AI100" s="16">
        <f t="shared" si="43"/>
        <v>1014117.2620000001</v>
      </c>
      <c r="AJ100" s="16">
        <f t="shared" si="43"/>
        <v>216480</v>
      </c>
      <c r="AK100" s="16">
        <f t="shared" si="43"/>
        <v>36611</v>
      </c>
      <c r="AL100" s="16">
        <f t="shared" si="43"/>
        <v>0</v>
      </c>
      <c r="AM100" s="16">
        <f t="shared" si="43"/>
        <v>471079.77999999997</v>
      </c>
      <c r="AN100" s="16">
        <f t="shared" si="43"/>
        <v>2559219.473</v>
      </c>
      <c r="AO100" s="16">
        <f t="shared" si="43"/>
        <v>1578024.026</v>
      </c>
      <c r="AP100" s="16">
        <f t="shared" si="43"/>
        <v>356154.68</v>
      </c>
      <c r="AQ100" s="16">
        <f t="shared" si="43"/>
        <v>6703</v>
      </c>
      <c r="AR100" s="16">
        <f t="shared" si="43"/>
        <v>1467942.0000000002</v>
      </c>
      <c r="AS100" s="16"/>
      <c r="AT100" s="16">
        <f t="shared" si="8"/>
        <v>65943160.140999995</v>
      </c>
      <c r="AU100" s="16"/>
      <c r="AV100" s="16"/>
      <c r="AW100" s="16"/>
    </row>
    <row r="101" spans="3:49" ht="12.75">
      <c r="C101" s="16"/>
      <c r="D101" s="16"/>
      <c r="E101" s="16"/>
      <c r="F101" s="16"/>
      <c r="G101" s="16"/>
      <c r="H101" s="30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30"/>
      <c r="AA101" s="16"/>
      <c r="AB101" s="16"/>
      <c r="AC101" s="16"/>
      <c r="AD101" s="16"/>
      <c r="AE101" s="16"/>
      <c r="AF101" s="16"/>
      <c r="AG101" s="16"/>
      <c r="AH101" s="16"/>
      <c r="AI101" s="16"/>
      <c r="AJ101" s="30"/>
      <c r="AK101" s="30"/>
      <c r="AL101" s="30"/>
      <c r="AM101" s="16"/>
      <c r="AN101" s="16"/>
      <c r="AO101" s="16"/>
      <c r="AP101" s="16"/>
      <c r="AQ101" s="30"/>
      <c r="AR101" s="16"/>
      <c r="AS101" s="16"/>
      <c r="AT101" s="16"/>
      <c r="AU101" s="16"/>
      <c r="AV101" s="16"/>
      <c r="AW101" s="16"/>
    </row>
  </sheetData>
  <sheetProtection/>
  <mergeCells count="58">
    <mergeCell ref="D33:E33"/>
    <mergeCell ref="G31:H31"/>
    <mergeCell ref="L31:M31"/>
    <mergeCell ref="AM31:AP31"/>
    <mergeCell ref="AG31:AI31"/>
    <mergeCell ref="N31:O31"/>
    <mergeCell ref="J31:K31"/>
    <mergeCell ref="C32:E32"/>
    <mergeCell ref="AK31:AL31"/>
    <mergeCell ref="Q32:T32"/>
    <mergeCell ref="AG3:AI3"/>
    <mergeCell ref="AJ3:AL3"/>
    <mergeCell ref="AM3:AP3"/>
    <mergeCell ref="AM4:AP4"/>
    <mergeCell ref="AD4:AE4"/>
    <mergeCell ref="AG4:AI4"/>
    <mergeCell ref="AJ4:AL4"/>
    <mergeCell ref="U4:W4"/>
    <mergeCell ref="U3:W3"/>
    <mergeCell ref="AD3:AE3"/>
    <mergeCell ref="X4:Y4"/>
    <mergeCell ref="Q3:T3"/>
    <mergeCell ref="Q4:T4"/>
    <mergeCell ref="AM1:AP1"/>
    <mergeCell ref="L2:M2"/>
    <mergeCell ref="N2:O2"/>
    <mergeCell ref="U2:W2"/>
    <mergeCell ref="X2:Y2"/>
    <mergeCell ref="Q2:T2"/>
    <mergeCell ref="AD2:AE2"/>
    <mergeCell ref="AG2:AI2"/>
    <mergeCell ref="AM2:AP2"/>
    <mergeCell ref="U1:W1"/>
    <mergeCell ref="X1:Y1"/>
    <mergeCell ref="Q1:T1"/>
    <mergeCell ref="AD1:AE1"/>
    <mergeCell ref="AG1:AI1"/>
    <mergeCell ref="AJ1:AL1"/>
    <mergeCell ref="C2:E2"/>
    <mergeCell ref="G2:H2"/>
    <mergeCell ref="I2:K2"/>
    <mergeCell ref="D31:E31"/>
    <mergeCell ref="C4:E4"/>
    <mergeCell ref="N1:O1"/>
    <mergeCell ref="L1:M1"/>
    <mergeCell ref="C1:E1"/>
    <mergeCell ref="G1:H1"/>
    <mergeCell ref="I1:K1"/>
    <mergeCell ref="Q20:T20"/>
    <mergeCell ref="G9:H9"/>
    <mergeCell ref="I32:K32"/>
    <mergeCell ref="AJ2:AL2"/>
    <mergeCell ref="G4:H4"/>
    <mergeCell ref="I4:K4"/>
    <mergeCell ref="L4:M4"/>
    <mergeCell ref="X3:Y3"/>
    <mergeCell ref="Q21:T21"/>
    <mergeCell ref="N4:O4"/>
  </mergeCells>
  <printOptions/>
  <pageMargins left="0.4724409448818898" right="0.2362204724409449" top="1.1811023622047245" bottom="0.2755905511811024" header="0.5118110236220472" footer="0.1968503937007874"/>
  <pageSetup firstPageNumber="63" useFirstPageNumber="1" horizontalDpi="600" verticalDpi="600" orientation="portrait" paperSize="9" r:id="rId1"/>
  <headerFooter alignWithMargins="0">
    <oddHeader>&amp;C&amp;"Times New Roman,Bold"&amp;14 5.2 KENNITÖLUR SÉREIGNADEILDA ÁRIÐ 2003</oddHeader>
    <oddFooter>&amp;R&amp;"Times New Roman,Regular"&amp;P</oddFooter>
  </headerFooter>
  <colBreaks count="2" manualBreakCount="2">
    <brk id="20" max="65535" man="1"/>
    <brk id="4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N63"/>
  <sheetViews>
    <sheetView zoomScalePageLayoutView="0" workbookViewId="0" topLeftCell="A1">
      <pane xSplit="2" ySplit="6" topLeftCell="CC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L29" sqref="CL29"/>
    </sheetView>
  </sheetViews>
  <sheetFormatPr defaultColWidth="9.140625" defaultRowHeight="12.75"/>
  <cols>
    <col min="1" max="1" width="3.28125" style="260" customWidth="1"/>
    <col min="2" max="2" width="33.00390625" style="260" customWidth="1"/>
    <col min="3" max="3" width="10.421875" style="260" customWidth="1"/>
    <col min="4" max="4" width="9.8515625" style="251" customWidth="1"/>
    <col min="5" max="5" width="9.28125" style="251" customWidth="1"/>
    <col min="6" max="6" width="10.28125" style="251" customWidth="1"/>
    <col min="7" max="7" width="8.421875" style="251" customWidth="1"/>
    <col min="8" max="8" width="8.57421875" style="251" customWidth="1"/>
    <col min="9" max="9" width="9.00390625" style="251" customWidth="1"/>
    <col min="10" max="10" width="11.00390625" style="251" customWidth="1"/>
    <col min="11" max="14" width="10.421875" style="251" customWidth="1"/>
    <col min="15" max="15" width="9.8515625" style="251" customWidth="1"/>
    <col min="16" max="16" width="9.28125" style="251" customWidth="1"/>
    <col min="17" max="17" width="12.57421875" style="251" customWidth="1"/>
    <col min="18" max="18" width="13.421875" style="251" customWidth="1"/>
    <col min="19" max="19" width="12.00390625" style="251" customWidth="1"/>
    <col min="20" max="20" width="10.8515625" style="251" customWidth="1"/>
    <col min="21" max="21" width="11.421875" style="251" customWidth="1"/>
    <col min="22" max="22" width="8.421875" style="251" customWidth="1"/>
    <col min="23" max="23" width="9.7109375" style="251" customWidth="1"/>
    <col min="24" max="25" width="10.421875" style="251" customWidth="1"/>
    <col min="26" max="26" width="9.57421875" style="251" customWidth="1"/>
    <col min="27" max="27" width="10.00390625" style="251" customWidth="1"/>
    <col min="28" max="28" width="8.8515625" style="251" customWidth="1"/>
    <col min="29" max="29" width="9.28125" style="251" customWidth="1"/>
    <col min="30" max="30" width="8.7109375" style="251" customWidth="1"/>
    <col min="31" max="31" width="8.8515625" style="251" customWidth="1"/>
    <col min="32" max="32" width="9.57421875" style="251" customWidth="1"/>
    <col min="33" max="37" width="10.421875" style="251" customWidth="1"/>
    <col min="38" max="38" width="9.7109375" style="251" customWidth="1"/>
    <col min="39" max="39" width="10.421875" style="251" customWidth="1"/>
    <col min="40" max="40" width="11.28125" style="251" customWidth="1"/>
    <col min="41" max="41" width="10.421875" style="251" customWidth="1"/>
    <col min="42" max="42" width="9.8515625" style="251" customWidth="1"/>
    <col min="43" max="44" width="11.00390625" style="251" customWidth="1"/>
    <col min="45" max="45" width="11.8515625" style="251" customWidth="1"/>
    <col min="46" max="46" width="11.7109375" style="251" customWidth="1"/>
    <col min="47" max="47" width="11.57421875" style="251" customWidth="1"/>
    <col min="48" max="48" width="9.28125" style="251" customWidth="1"/>
    <col min="49" max="49" width="9.140625" style="251" customWidth="1"/>
    <col min="50" max="50" width="11.140625" style="251" customWidth="1"/>
    <col min="51" max="67" width="10.421875" style="251" customWidth="1"/>
    <col min="68" max="68" width="14.00390625" style="251" customWidth="1"/>
    <col min="69" max="70" width="10.421875" style="251" customWidth="1"/>
    <col min="71" max="72" width="9.8515625" style="251" customWidth="1"/>
    <col min="73" max="81" width="10.421875" style="251" customWidth="1"/>
    <col min="82" max="82" width="14.140625" style="251" customWidth="1"/>
    <col min="83" max="83" width="9.140625" style="251" customWidth="1"/>
    <col min="84" max="84" width="9.7109375" style="251" customWidth="1"/>
    <col min="85" max="86" width="9.140625" style="251" customWidth="1"/>
    <col min="87" max="87" width="8.00390625" style="251" customWidth="1"/>
    <col min="88" max="88" width="13.28125" style="251" customWidth="1"/>
    <col min="89" max="89" width="9.140625" style="251" customWidth="1"/>
    <col min="90" max="90" width="11.57421875" style="251" customWidth="1"/>
    <col min="91" max="91" width="9.140625" style="251" customWidth="1"/>
    <col min="92" max="92" width="9.57421875" style="251" bestFit="1" customWidth="1"/>
    <col min="93" max="16384" width="9.140625" style="251" customWidth="1"/>
  </cols>
  <sheetData>
    <row r="1" spans="1:88" ht="12.75" customHeight="1">
      <c r="A1" s="249"/>
      <c r="B1" s="249"/>
      <c r="C1" s="249"/>
      <c r="D1" s="387" t="s">
        <v>71</v>
      </c>
      <c r="E1" s="387"/>
      <c r="F1" s="387"/>
      <c r="G1" s="387"/>
      <c r="H1" s="387"/>
      <c r="I1" s="387"/>
      <c r="J1" s="250" t="s">
        <v>71</v>
      </c>
      <c r="K1" s="387" t="s">
        <v>71</v>
      </c>
      <c r="L1" s="387"/>
      <c r="M1" s="387" t="s">
        <v>71</v>
      </c>
      <c r="N1" s="387"/>
      <c r="O1" s="387"/>
      <c r="P1" s="387"/>
      <c r="Q1" s="387" t="s">
        <v>72</v>
      </c>
      <c r="R1" s="387"/>
      <c r="S1" s="250" t="s">
        <v>71</v>
      </c>
      <c r="T1" s="387" t="s">
        <v>73</v>
      </c>
      <c r="U1" s="387"/>
      <c r="V1" s="387" t="s">
        <v>525</v>
      </c>
      <c r="W1" s="387"/>
      <c r="X1" s="387"/>
      <c r="Y1" s="387"/>
      <c r="Z1" s="387"/>
      <c r="AA1" s="387" t="s">
        <v>75</v>
      </c>
      <c r="AB1" s="387"/>
      <c r="AC1" s="387"/>
      <c r="AD1" s="387"/>
      <c r="AE1" s="387" t="s">
        <v>71</v>
      </c>
      <c r="AF1" s="387"/>
      <c r="AG1" s="387" t="s">
        <v>71</v>
      </c>
      <c r="AH1" s="387"/>
      <c r="AI1" s="250" t="s">
        <v>74</v>
      </c>
      <c r="AJ1" s="387" t="s">
        <v>71</v>
      </c>
      <c r="AK1" s="387"/>
      <c r="AL1" s="250" t="s">
        <v>71</v>
      </c>
      <c r="AM1" s="250" t="s">
        <v>71</v>
      </c>
      <c r="AN1" s="250" t="s">
        <v>71</v>
      </c>
      <c r="AO1" s="250" t="s">
        <v>71</v>
      </c>
      <c r="AP1" s="250" t="s">
        <v>71</v>
      </c>
      <c r="AQ1" s="250" t="s">
        <v>71</v>
      </c>
      <c r="AR1" s="250" t="s">
        <v>71</v>
      </c>
      <c r="AS1" s="250" t="s">
        <v>71</v>
      </c>
      <c r="AT1" s="250" t="s">
        <v>71</v>
      </c>
      <c r="AU1" s="250" t="s">
        <v>76</v>
      </c>
      <c r="AV1" s="387" t="s">
        <v>78</v>
      </c>
      <c r="AW1" s="387"/>
      <c r="AX1" s="387"/>
      <c r="AY1" s="387"/>
      <c r="AZ1" s="387" t="s">
        <v>71</v>
      </c>
      <c r="BA1" s="387"/>
      <c r="BB1" s="387"/>
      <c r="BC1" s="387"/>
      <c r="BD1" s="250" t="s">
        <v>71</v>
      </c>
      <c r="BE1" s="250" t="s">
        <v>71</v>
      </c>
      <c r="BF1" s="250"/>
      <c r="BG1" s="387" t="s">
        <v>80</v>
      </c>
      <c r="BH1" s="387"/>
      <c r="BI1" s="387"/>
      <c r="BJ1" s="387"/>
      <c r="BK1" s="250" t="s">
        <v>79</v>
      </c>
      <c r="BL1" s="387" t="s">
        <v>71</v>
      </c>
      <c r="BM1" s="387" t="s">
        <v>71</v>
      </c>
      <c r="BN1" s="387" t="s">
        <v>71</v>
      </c>
      <c r="BO1" s="387"/>
      <c r="BP1" s="250" t="s">
        <v>71</v>
      </c>
      <c r="BQ1" s="250" t="s">
        <v>71</v>
      </c>
      <c r="BR1" s="250" t="s">
        <v>71</v>
      </c>
      <c r="BS1" s="250" t="s">
        <v>71</v>
      </c>
      <c r="BT1" s="250" t="s">
        <v>79</v>
      </c>
      <c r="BU1" s="250" t="s">
        <v>79</v>
      </c>
      <c r="BV1" s="250" t="s">
        <v>71</v>
      </c>
      <c r="BW1" s="250" t="s">
        <v>71</v>
      </c>
      <c r="BX1" s="250" t="s">
        <v>71</v>
      </c>
      <c r="BY1" s="250" t="s">
        <v>79</v>
      </c>
      <c r="BZ1" s="250" t="s">
        <v>79</v>
      </c>
      <c r="CA1" s="250" t="s">
        <v>79</v>
      </c>
      <c r="CB1" s="250" t="s">
        <v>71</v>
      </c>
      <c r="CC1" s="250" t="s">
        <v>77</v>
      </c>
      <c r="CD1" s="250" t="s">
        <v>71</v>
      </c>
      <c r="CE1" s="250" t="s">
        <v>71</v>
      </c>
      <c r="CF1" s="250" t="s">
        <v>79</v>
      </c>
      <c r="CG1" s="250" t="s">
        <v>71</v>
      </c>
      <c r="CH1" s="250" t="s">
        <v>71</v>
      </c>
      <c r="CJ1" s="364" t="s">
        <v>560</v>
      </c>
    </row>
    <row r="2" spans="1:88" ht="12.75">
      <c r="A2" s="249"/>
      <c r="B2" s="249" t="s">
        <v>318</v>
      </c>
      <c r="C2" s="249"/>
      <c r="D2" s="387" t="s">
        <v>401</v>
      </c>
      <c r="E2" s="387"/>
      <c r="F2" s="387"/>
      <c r="G2" s="387"/>
      <c r="H2" s="387"/>
      <c r="I2" s="387"/>
      <c r="J2" s="250" t="s">
        <v>82</v>
      </c>
      <c r="K2" s="387" t="s">
        <v>84</v>
      </c>
      <c r="L2" s="387"/>
      <c r="M2" s="387" t="s">
        <v>86</v>
      </c>
      <c r="N2" s="387"/>
      <c r="O2" s="387"/>
      <c r="P2" s="387"/>
      <c r="Q2" s="387" t="s">
        <v>85</v>
      </c>
      <c r="R2" s="387"/>
      <c r="S2" s="250" t="s">
        <v>87</v>
      </c>
      <c r="T2" s="387" t="s">
        <v>85</v>
      </c>
      <c r="U2" s="387"/>
      <c r="V2" s="387" t="s">
        <v>97</v>
      </c>
      <c r="W2" s="387"/>
      <c r="X2" s="387"/>
      <c r="Y2" s="387"/>
      <c r="Z2" s="387"/>
      <c r="AA2" s="387" t="s">
        <v>85</v>
      </c>
      <c r="AB2" s="387"/>
      <c r="AC2" s="387"/>
      <c r="AD2" s="387"/>
      <c r="AE2" s="387" t="s">
        <v>89</v>
      </c>
      <c r="AF2" s="387"/>
      <c r="AG2" s="387" t="s">
        <v>88</v>
      </c>
      <c r="AH2" s="387" t="s">
        <v>88</v>
      </c>
      <c r="AI2" s="250" t="s">
        <v>85</v>
      </c>
      <c r="AJ2" s="387" t="s">
        <v>90</v>
      </c>
      <c r="AK2" s="387"/>
      <c r="AL2" s="250" t="s">
        <v>92</v>
      </c>
      <c r="AM2" s="250" t="s">
        <v>91</v>
      </c>
      <c r="AN2" s="250" t="s">
        <v>95</v>
      </c>
      <c r="AO2" s="250" t="s">
        <v>94</v>
      </c>
      <c r="AP2" s="250" t="s">
        <v>98</v>
      </c>
      <c r="AQ2" s="250" t="s">
        <v>96</v>
      </c>
      <c r="AR2" s="250" t="s">
        <v>93</v>
      </c>
      <c r="AS2" s="250" t="s">
        <v>102</v>
      </c>
      <c r="AT2" s="250" t="s">
        <v>99</v>
      </c>
      <c r="AU2" s="250" t="s">
        <v>100</v>
      </c>
      <c r="AV2" s="387" t="s">
        <v>85</v>
      </c>
      <c r="AW2" s="387"/>
      <c r="AX2" s="387"/>
      <c r="AY2" s="387"/>
      <c r="AZ2" s="387" t="s">
        <v>102</v>
      </c>
      <c r="BA2" s="387"/>
      <c r="BB2" s="387"/>
      <c r="BC2" s="387"/>
      <c r="BD2" s="250" t="s">
        <v>102</v>
      </c>
      <c r="BE2" s="250" t="s">
        <v>103</v>
      </c>
      <c r="BF2" s="250"/>
      <c r="BG2" s="387" t="s">
        <v>85</v>
      </c>
      <c r="BH2" s="387"/>
      <c r="BI2" s="387"/>
      <c r="BJ2" s="387"/>
      <c r="BK2" s="250" t="s">
        <v>102</v>
      </c>
      <c r="BL2" s="387" t="s">
        <v>104</v>
      </c>
      <c r="BM2" s="387" t="s">
        <v>104</v>
      </c>
      <c r="BN2" s="387" t="s">
        <v>107</v>
      </c>
      <c r="BO2" s="387"/>
      <c r="BP2" s="250" t="s">
        <v>106</v>
      </c>
      <c r="BQ2" s="250" t="s">
        <v>105</v>
      </c>
      <c r="BR2" s="250" t="s">
        <v>109</v>
      </c>
      <c r="BS2" s="250" t="s">
        <v>112</v>
      </c>
      <c r="BT2" s="250" t="s">
        <v>110</v>
      </c>
      <c r="BU2" s="250" t="s">
        <v>108</v>
      </c>
      <c r="BV2" s="250" t="s">
        <v>111</v>
      </c>
      <c r="BW2" s="250" t="s">
        <v>113</v>
      </c>
      <c r="BX2" s="250" t="s">
        <v>114</v>
      </c>
      <c r="BY2" s="250" t="s">
        <v>116</v>
      </c>
      <c r="BZ2" s="250" t="s">
        <v>115</v>
      </c>
      <c r="CA2" s="250" t="s">
        <v>117</v>
      </c>
      <c r="CB2" s="250" t="s">
        <v>102</v>
      </c>
      <c r="CC2" s="250" t="s">
        <v>101</v>
      </c>
      <c r="CD2" s="250" t="s">
        <v>422</v>
      </c>
      <c r="CE2" s="250" t="s">
        <v>118</v>
      </c>
      <c r="CF2" s="250" t="s">
        <v>119</v>
      </c>
      <c r="CG2" s="250" t="s">
        <v>120</v>
      </c>
      <c r="CH2" s="250" t="s">
        <v>121</v>
      </c>
      <c r="CJ2" s="364" t="s">
        <v>561</v>
      </c>
    </row>
    <row r="3" spans="1:86" ht="12.75">
      <c r="A3" s="253"/>
      <c r="B3" s="249"/>
      <c r="C3" s="249"/>
      <c r="D3" s="254" t="s">
        <v>400</v>
      </c>
      <c r="E3" s="254" t="s">
        <v>400</v>
      </c>
      <c r="F3" s="254" t="s">
        <v>400</v>
      </c>
      <c r="G3" s="250"/>
      <c r="H3" s="255"/>
      <c r="I3" s="255"/>
      <c r="J3" s="250" t="s">
        <v>130</v>
      </c>
      <c r="K3" s="255"/>
      <c r="M3" s="255"/>
      <c r="N3" s="250"/>
      <c r="O3" s="250"/>
      <c r="P3" s="255"/>
      <c r="Q3" s="387" t="s">
        <v>101</v>
      </c>
      <c r="R3" s="387"/>
      <c r="S3" s="250" t="s">
        <v>402</v>
      </c>
      <c r="T3" s="387" t="s">
        <v>129</v>
      </c>
      <c r="U3" s="387"/>
      <c r="V3" s="387"/>
      <c r="W3" s="387"/>
      <c r="X3" s="387"/>
      <c r="Y3" s="387"/>
      <c r="Z3" s="387"/>
      <c r="AA3" s="387" t="s">
        <v>101</v>
      </c>
      <c r="AB3" s="387"/>
      <c r="AC3" s="387"/>
      <c r="AD3" s="387"/>
      <c r="AE3" s="255"/>
      <c r="AG3" s="387" t="s">
        <v>130</v>
      </c>
      <c r="AH3" s="387" t="s">
        <v>130</v>
      </c>
      <c r="AI3" s="250" t="s">
        <v>101</v>
      </c>
      <c r="AJ3" s="387" t="s">
        <v>128</v>
      </c>
      <c r="AK3" s="387"/>
      <c r="AL3" s="250" t="s">
        <v>59</v>
      </c>
      <c r="AM3" s="250" t="s">
        <v>131</v>
      </c>
      <c r="AN3" s="250" t="s">
        <v>133</v>
      </c>
      <c r="AO3" s="250" t="s">
        <v>132</v>
      </c>
      <c r="AP3" s="250" t="s">
        <v>135</v>
      </c>
      <c r="AQ3" s="250" t="s">
        <v>403</v>
      </c>
      <c r="AR3" s="250" t="s">
        <v>59</v>
      </c>
      <c r="AS3" s="250" t="s">
        <v>139</v>
      </c>
      <c r="AT3" s="250" t="s">
        <v>402</v>
      </c>
      <c r="AU3" s="250" t="s">
        <v>136</v>
      </c>
      <c r="AV3" s="387" t="s">
        <v>101</v>
      </c>
      <c r="AW3" s="387"/>
      <c r="AX3" s="387"/>
      <c r="AY3" s="387"/>
      <c r="AZ3" s="387" t="s">
        <v>144</v>
      </c>
      <c r="BA3" s="387"/>
      <c r="BB3" s="387"/>
      <c r="BC3" s="387"/>
      <c r="BD3" s="250" t="s">
        <v>137</v>
      </c>
      <c r="BE3" s="250"/>
      <c r="BF3" s="250"/>
      <c r="BG3" s="387" t="s">
        <v>101</v>
      </c>
      <c r="BH3" s="387"/>
      <c r="BI3" s="387"/>
      <c r="BJ3" s="387"/>
      <c r="BK3" s="250" t="s">
        <v>141</v>
      </c>
      <c r="BL3" s="387" t="s">
        <v>404</v>
      </c>
      <c r="BM3" s="387" t="s">
        <v>404</v>
      </c>
      <c r="BN3" s="250"/>
      <c r="BP3" s="250" t="s">
        <v>143</v>
      </c>
      <c r="BQ3" s="250" t="s">
        <v>142</v>
      </c>
      <c r="BR3" s="250" t="s">
        <v>395</v>
      </c>
      <c r="BS3" s="250" t="s">
        <v>142</v>
      </c>
      <c r="BT3" s="250" t="s">
        <v>146</v>
      </c>
      <c r="BU3" s="250" t="s">
        <v>145</v>
      </c>
      <c r="BV3" s="250" t="s">
        <v>147</v>
      </c>
      <c r="BW3" s="250" t="s">
        <v>149</v>
      </c>
      <c r="BX3" s="250" t="s">
        <v>150</v>
      </c>
      <c r="BY3" s="250" t="s">
        <v>151</v>
      </c>
      <c r="BZ3" s="250" t="s">
        <v>103</v>
      </c>
      <c r="CA3" s="250" t="s">
        <v>152</v>
      </c>
      <c r="CB3" s="250" t="s">
        <v>153</v>
      </c>
      <c r="CC3" s="250" t="s">
        <v>154</v>
      </c>
      <c r="CD3" s="250" t="s">
        <v>421</v>
      </c>
      <c r="CE3" s="250" t="s">
        <v>155</v>
      </c>
      <c r="CF3" s="250" t="s">
        <v>156</v>
      </c>
      <c r="CG3" s="250" t="s">
        <v>157</v>
      </c>
      <c r="CH3" s="250" t="s">
        <v>158</v>
      </c>
    </row>
    <row r="4" spans="1:86" s="252" customFormat="1" ht="12.75">
      <c r="A4" s="256"/>
      <c r="B4" s="257"/>
      <c r="C4" s="257"/>
      <c r="D4" s="388" t="s">
        <v>375</v>
      </c>
      <c r="E4" s="388"/>
      <c r="F4" s="388"/>
      <c r="G4" s="388"/>
      <c r="H4" s="388"/>
      <c r="I4" s="388"/>
      <c r="J4" s="258" t="s">
        <v>161</v>
      </c>
      <c r="K4" s="387" t="s">
        <v>166</v>
      </c>
      <c r="L4" s="387"/>
      <c r="M4" s="387" t="s">
        <v>167</v>
      </c>
      <c r="N4" s="387"/>
      <c r="O4" s="387"/>
      <c r="P4" s="387"/>
      <c r="Q4" s="387" t="s">
        <v>170</v>
      </c>
      <c r="R4" s="387"/>
      <c r="S4" s="258" t="s">
        <v>171</v>
      </c>
      <c r="T4" s="387" t="s">
        <v>172</v>
      </c>
      <c r="U4" s="387"/>
      <c r="V4" s="388" t="s">
        <v>173</v>
      </c>
      <c r="W4" s="388"/>
      <c r="X4" s="388"/>
      <c r="Y4" s="388"/>
      <c r="Z4" s="388"/>
      <c r="AA4" s="387" t="s">
        <v>174</v>
      </c>
      <c r="AB4" s="387"/>
      <c r="AC4" s="387"/>
      <c r="AD4" s="387"/>
      <c r="AE4" s="387" t="s">
        <v>175</v>
      </c>
      <c r="AF4" s="387"/>
      <c r="AG4" s="388" t="s">
        <v>176</v>
      </c>
      <c r="AH4" s="388"/>
      <c r="AI4" s="258" t="s">
        <v>177</v>
      </c>
      <c r="AJ4" s="388" t="s">
        <v>178</v>
      </c>
      <c r="AK4" s="387"/>
      <c r="AL4" s="258" t="s">
        <v>179</v>
      </c>
      <c r="AM4" s="258" t="s">
        <v>180</v>
      </c>
      <c r="AN4" s="258" t="s">
        <v>181</v>
      </c>
      <c r="AO4" s="258" t="s">
        <v>182</v>
      </c>
      <c r="AP4" s="258" t="s">
        <v>183</v>
      </c>
      <c r="AQ4" s="258" t="s">
        <v>184</v>
      </c>
      <c r="AR4" s="258" t="s">
        <v>185</v>
      </c>
      <c r="AS4" s="259" t="s">
        <v>186</v>
      </c>
      <c r="AT4" s="258" t="s">
        <v>187</v>
      </c>
      <c r="AU4" s="258" t="s">
        <v>517</v>
      </c>
      <c r="AV4" s="388" t="s">
        <v>188</v>
      </c>
      <c r="AW4" s="387"/>
      <c r="AX4" s="387"/>
      <c r="AY4" s="387"/>
      <c r="AZ4" s="388" t="s">
        <v>189</v>
      </c>
      <c r="BA4" s="387"/>
      <c r="BB4" s="387"/>
      <c r="BC4" s="387"/>
      <c r="BD4" s="258" t="s">
        <v>190</v>
      </c>
      <c r="BE4" s="258" t="s">
        <v>191</v>
      </c>
      <c r="BF4" s="258"/>
      <c r="BG4" s="387" t="s">
        <v>192</v>
      </c>
      <c r="BH4" s="387"/>
      <c r="BI4" s="387"/>
      <c r="BJ4" s="387"/>
      <c r="BK4" s="258" t="s">
        <v>193</v>
      </c>
      <c r="BL4" s="389" t="s">
        <v>194</v>
      </c>
      <c r="BM4" s="390"/>
      <c r="BN4" s="388" t="s">
        <v>195</v>
      </c>
      <c r="BO4" s="387"/>
      <c r="BP4" s="258" t="s">
        <v>196</v>
      </c>
      <c r="BQ4" s="258" t="s">
        <v>199</v>
      </c>
      <c r="BR4" s="258" t="s">
        <v>200</v>
      </c>
      <c r="BS4" s="258" t="s">
        <v>201</v>
      </c>
      <c r="BT4" s="258" t="s">
        <v>202</v>
      </c>
      <c r="BU4" s="258" t="s">
        <v>203</v>
      </c>
      <c r="BV4" s="258" t="s">
        <v>205</v>
      </c>
      <c r="BW4" s="258" t="s">
        <v>206</v>
      </c>
      <c r="BX4" s="258" t="s">
        <v>207</v>
      </c>
      <c r="BY4" s="258" t="s">
        <v>208</v>
      </c>
      <c r="BZ4" s="258" t="s">
        <v>209</v>
      </c>
      <c r="CA4" s="258" t="s">
        <v>210</v>
      </c>
      <c r="CB4" s="258" t="s">
        <v>211</v>
      </c>
      <c r="CC4" s="258" t="s">
        <v>212</v>
      </c>
      <c r="CD4" s="258" t="s">
        <v>213</v>
      </c>
      <c r="CE4" s="258" t="s">
        <v>214</v>
      </c>
      <c r="CF4" s="258" t="s">
        <v>215</v>
      </c>
      <c r="CG4" s="258" t="s">
        <v>216</v>
      </c>
      <c r="CH4" s="258" t="s">
        <v>217</v>
      </c>
    </row>
    <row r="5" spans="1:74" s="278" customFormat="1" ht="11.25">
      <c r="A5" s="276"/>
      <c r="B5" s="277"/>
      <c r="C5" s="261" t="s">
        <v>162</v>
      </c>
      <c r="D5" s="261" t="s">
        <v>163</v>
      </c>
      <c r="E5" s="261" t="s">
        <v>126</v>
      </c>
      <c r="F5" s="261" t="s">
        <v>127</v>
      </c>
      <c r="G5" s="261" t="s">
        <v>418</v>
      </c>
      <c r="H5" s="261" t="s">
        <v>419</v>
      </c>
      <c r="I5" s="261" t="s">
        <v>420</v>
      </c>
      <c r="J5" s="261"/>
      <c r="K5" s="261" t="s">
        <v>364</v>
      </c>
      <c r="L5" s="261" t="s">
        <v>80</v>
      </c>
      <c r="M5" s="261" t="s">
        <v>364</v>
      </c>
      <c r="N5" s="261" t="s">
        <v>409</v>
      </c>
      <c r="O5" s="261" t="s">
        <v>410</v>
      </c>
      <c r="P5" s="261" t="s">
        <v>411</v>
      </c>
      <c r="Q5" s="261" t="s">
        <v>364</v>
      </c>
      <c r="R5" s="261" t="s">
        <v>80</v>
      </c>
      <c r="S5" s="261"/>
      <c r="T5" s="261" t="s">
        <v>364</v>
      </c>
      <c r="U5" s="261" t="s">
        <v>80</v>
      </c>
      <c r="V5" s="261" t="s">
        <v>364</v>
      </c>
      <c r="W5" s="261" t="s">
        <v>372</v>
      </c>
      <c r="X5" s="261" t="s">
        <v>373</v>
      </c>
      <c r="Y5" s="261" t="s">
        <v>374</v>
      </c>
      <c r="Z5" s="261" t="s">
        <v>412</v>
      </c>
      <c r="AA5" s="261" t="s">
        <v>364</v>
      </c>
      <c r="AB5" s="261" t="s">
        <v>532</v>
      </c>
      <c r="AC5" s="261" t="s">
        <v>533</v>
      </c>
      <c r="AD5" s="261" t="s">
        <v>534</v>
      </c>
      <c r="AE5" s="261" t="s">
        <v>364</v>
      </c>
      <c r="AF5" s="261" t="s">
        <v>80</v>
      </c>
      <c r="AG5" s="261" t="s">
        <v>168</v>
      </c>
      <c r="AH5" s="261" t="s">
        <v>62</v>
      </c>
      <c r="AI5" s="261"/>
      <c r="AJ5" s="261" t="s">
        <v>364</v>
      </c>
      <c r="AK5" s="261" t="s">
        <v>80</v>
      </c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 t="s">
        <v>364</v>
      </c>
      <c r="AW5" s="261" t="s">
        <v>361</v>
      </c>
      <c r="AX5" s="261" t="s">
        <v>362</v>
      </c>
      <c r="AY5" s="261" t="s">
        <v>363</v>
      </c>
      <c r="AZ5" s="261" t="s">
        <v>364</v>
      </c>
      <c r="BA5" s="261" t="s">
        <v>413</v>
      </c>
      <c r="BB5" s="261" t="s">
        <v>414</v>
      </c>
      <c r="BC5" s="261" t="s">
        <v>415</v>
      </c>
      <c r="BD5" s="261"/>
      <c r="BE5" s="261"/>
      <c r="BF5" s="261" t="s">
        <v>526</v>
      </c>
      <c r="BG5" s="261" t="s">
        <v>358</v>
      </c>
      <c r="BH5" s="261" t="s">
        <v>359</v>
      </c>
      <c r="BI5" s="261" t="s">
        <v>360</v>
      </c>
      <c r="BJ5" s="261" t="s">
        <v>80</v>
      </c>
      <c r="BK5" s="261"/>
      <c r="BL5" s="261" t="s">
        <v>197</v>
      </c>
      <c r="BM5" s="261" t="s">
        <v>198</v>
      </c>
      <c r="BN5" s="261" t="s">
        <v>364</v>
      </c>
      <c r="BO5" s="261" t="s">
        <v>80</v>
      </c>
      <c r="BP5" s="261"/>
      <c r="BQ5" s="261"/>
      <c r="BR5" s="261"/>
      <c r="BS5" s="261"/>
      <c r="BT5" s="261"/>
      <c r="BU5" s="261"/>
      <c r="BV5" s="261"/>
    </row>
    <row r="6" spans="2:74" s="199" customFormat="1" ht="11.25">
      <c r="B6" s="276"/>
      <c r="E6" s="261" t="s">
        <v>164</v>
      </c>
      <c r="F6" s="261" t="s">
        <v>165</v>
      </c>
      <c r="G6" s="261"/>
      <c r="H6" s="261"/>
      <c r="I6" s="261"/>
      <c r="J6" s="261"/>
      <c r="K6" s="261" t="s">
        <v>165</v>
      </c>
      <c r="L6" s="261" t="s">
        <v>165</v>
      </c>
      <c r="M6" s="261" t="s">
        <v>165</v>
      </c>
      <c r="N6" s="261"/>
      <c r="O6" s="261"/>
      <c r="P6" s="261"/>
      <c r="Q6" s="261" t="s">
        <v>165</v>
      </c>
      <c r="R6" s="261" t="s">
        <v>165</v>
      </c>
      <c r="S6" s="261"/>
      <c r="T6" s="261" t="s">
        <v>165</v>
      </c>
      <c r="U6" s="261" t="s">
        <v>165</v>
      </c>
      <c r="V6" s="261" t="s">
        <v>165</v>
      </c>
      <c r="W6" s="261"/>
      <c r="X6" s="261"/>
      <c r="Y6" s="261"/>
      <c r="Z6" s="261"/>
      <c r="AA6" s="261" t="s">
        <v>165</v>
      </c>
      <c r="AB6" s="261"/>
      <c r="AC6" s="261"/>
      <c r="AD6" s="261"/>
      <c r="AE6" s="261" t="s">
        <v>165</v>
      </c>
      <c r="AF6" s="261" t="s">
        <v>165</v>
      </c>
      <c r="AH6" s="261" t="s">
        <v>165</v>
      </c>
      <c r="AI6" s="261"/>
      <c r="AJ6" s="261" t="s">
        <v>165</v>
      </c>
      <c r="AK6" s="261" t="s">
        <v>165</v>
      </c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 t="s">
        <v>165</v>
      </c>
      <c r="AW6" s="261"/>
      <c r="AX6" s="261"/>
      <c r="AY6" s="261"/>
      <c r="AZ6" s="261" t="s">
        <v>165</v>
      </c>
      <c r="BA6" s="261"/>
      <c r="BB6" s="261"/>
      <c r="BC6" s="261"/>
      <c r="BD6" s="261"/>
      <c r="BE6" s="261"/>
      <c r="BF6" s="261" t="s">
        <v>165</v>
      </c>
      <c r="BJ6" s="261" t="s">
        <v>473</v>
      </c>
      <c r="BK6" s="261"/>
      <c r="BL6" s="261"/>
      <c r="BM6" s="261"/>
      <c r="BN6" s="261" t="s">
        <v>165</v>
      </c>
      <c r="BO6" s="261" t="s">
        <v>165</v>
      </c>
      <c r="BP6" s="261"/>
      <c r="BQ6" s="261"/>
      <c r="BR6" s="261"/>
      <c r="BS6" s="261"/>
      <c r="BT6" s="261"/>
      <c r="BU6" s="261"/>
      <c r="BV6" s="261"/>
    </row>
    <row r="7" ht="12.75">
      <c r="C7" s="251"/>
    </row>
    <row r="8" spans="1:86" s="264" customFormat="1" ht="12.75">
      <c r="A8" s="263" t="s">
        <v>433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</row>
    <row r="9" spans="2:88" s="264" customFormat="1" ht="12.75">
      <c r="B9" s="265" t="s">
        <v>319</v>
      </c>
      <c r="C9" s="266">
        <v>41496</v>
      </c>
      <c r="D9" s="266">
        <v>7067</v>
      </c>
      <c r="E9" s="266">
        <v>0</v>
      </c>
      <c r="F9" s="266">
        <v>0</v>
      </c>
      <c r="G9" s="266">
        <v>345</v>
      </c>
      <c r="H9" s="266">
        <v>19</v>
      </c>
      <c r="I9" s="266">
        <v>0</v>
      </c>
      <c r="J9" s="266">
        <v>32711</v>
      </c>
      <c r="K9" s="266">
        <v>18549</v>
      </c>
      <c r="L9" s="266">
        <v>364</v>
      </c>
      <c r="M9" s="266">
        <v>21838</v>
      </c>
      <c r="N9" s="266">
        <v>52</v>
      </c>
      <c r="O9" s="266">
        <v>5</v>
      </c>
      <c r="P9" s="266">
        <v>0</v>
      </c>
      <c r="Q9" s="266">
        <v>18576</v>
      </c>
      <c r="R9" s="266">
        <v>207</v>
      </c>
      <c r="S9" s="266">
        <v>13610</v>
      </c>
      <c r="T9" s="266">
        <v>14308</v>
      </c>
      <c r="U9" s="266">
        <v>76</v>
      </c>
      <c r="V9" s="266">
        <v>1371</v>
      </c>
      <c r="W9" s="266">
        <v>814</v>
      </c>
      <c r="X9" s="266">
        <v>4314</v>
      </c>
      <c r="Y9" s="266">
        <v>446</v>
      </c>
      <c r="Z9" s="266">
        <v>0</v>
      </c>
      <c r="AA9" s="266">
        <v>1339</v>
      </c>
      <c r="AB9" s="266">
        <v>6687</v>
      </c>
      <c r="AC9" s="266">
        <v>596</v>
      </c>
      <c r="AD9" s="266">
        <v>0</v>
      </c>
      <c r="AE9" s="266">
        <v>7084</v>
      </c>
      <c r="AF9" s="266">
        <v>27</v>
      </c>
      <c r="AG9" s="266">
        <v>1609</v>
      </c>
      <c r="AH9" s="266">
        <v>7464</v>
      </c>
      <c r="AI9" s="266">
        <v>4224</v>
      </c>
      <c r="AJ9" s="266">
        <v>4440</v>
      </c>
      <c r="AK9" s="266">
        <v>22</v>
      </c>
      <c r="AL9" s="266">
        <v>5167</v>
      </c>
      <c r="AM9" s="266">
        <v>3940</v>
      </c>
      <c r="AN9" s="266">
        <v>996</v>
      </c>
      <c r="AO9" s="266">
        <v>3867</v>
      </c>
      <c r="AP9" s="266">
        <v>4326</v>
      </c>
      <c r="AQ9" s="266">
        <v>4019</v>
      </c>
      <c r="AR9" s="266">
        <v>4792</v>
      </c>
      <c r="AS9" s="266">
        <v>961</v>
      </c>
      <c r="AT9" s="266">
        <v>3928</v>
      </c>
      <c r="AU9" s="266">
        <v>2828</v>
      </c>
      <c r="AV9" s="266">
        <v>264</v>
      </c>
      <c r="AW9" s="266">
        <v>478</v>
      </c>
      <c r="AX9" s="266">
        <v>1330</v>
      </c>
      <c r="AY9" s="266">
        <v>425</v>
      </c>
      <c r="AZ9" s="266">
        <v>2354</v>
      </c>
      <c r="BA9" s="266">
        <v>91</v>
      </c>
      <c r="BB9" s="266">
        <v>27</v>
      </c>
      <c r="BC9" s="266">
        <v>0</v>
      </c>
      <c r="BD9" s="266">
        <v>2688</v>
      </c>
      <c r="BE9" s="266">
        <v>1831</v>
      </c>
      <c r="BF9" s="266">
        <v>212</v>
      </c>
      <c r="BG9" s="266">
        <v>259</v>
      </c>
      <c r="BH9" s="266">
        <v>1173</v>
      </c>
      <c r="BI9" s="266">
        <v>597</v>
      </c>
      <c r="BJ9" s="266">
        <v>0</v>
      </c>
      <c r="BK9" s="266">
        <v>2130</v>
      </c>
      <c r="BL9" s="266">
        <v>1270</v>
      </c>
      <c r="BM9" s="266">
        <v>90</v>
      </c>
      <c r="BN9" s="266">
        <v>243</v>
      </c>
      <c r="BO9" s="266">
        <v>4</v>
      </c>
      <c r="BP9" s="266">
        <v>495</v>
      </c>
      <c r="BQ9" s="266">
        <v>1197</v>
      </c>
      <c r="BR9" s="266">
        <v>228</v>
      </c>
      <c r="BS9" s="266">
        <v>539</v>
      </c>
      <c r="BT9" s="266">
        <v>345</v>
      </c>
      <c r="BU9" s="266">
        <v>561</v>
      </c>
      <c r="BV9" s="266">
        <v>612</v>
      </c>
      <c r="BW9" s="266">
        <v>451</v>
      </c>
      <c r="BX9" s="266">
        <v>255</v>
      </c>
      <c r="BY9" s="266">
        <v>343</v>
      </c>
      <c r="BZ9" s="266">
        <v>4</v>
      </c>
      <c r="CA9" s="266">
        <v>168</v>
      </c>
      <c r="CB9" s="266">
        <v>279</v>
      </c>
      <c r="CC9" s="266">
        <v>94</v>
      </c>
      <c r="CD9" s="266">
        <v>122</v>
      </c>
      <c r="CE9" s="266">
        <v>97</v>
      </c>
      <c r="CF9" s="266">
        <v>17</v>
      </c>
      <c r="CG9" s="266">
        <v>2</v>
      </c>
      <c r="CH9" s="266">
        <v>8</v>
      </c>
      <c r="CJ9" s="267">
        <f>SUM(C9:CI9)</f>
        <v>265767</v>
      </c>
    </row>
    <row r="10" spans="2:88" s="264" customFormat="1" ht="12.75">
      <c r="B10" s="265" t="s">
        <v>549</v>
      </c>
      <c r="C10" s="266">
        <v>2531</v>
      </c>
      <c r="D10" s="266">
        <v>777</v>
      </c>
      <c r="E10" s="266">
        <v>0</v>
      </c>
      <c r="F10" s="266">
        <v>0</v>
      </c>
      <c r="G10" s="266">
        <v>21</v>
      </c>
      <c r="H10" s="266">
        <v>11</v>
      </c>
      <c r="I10" s="266">
        <v>0</v>
      </c>
      <c r="J10" s="266">
        <v>613</v>
      </c>
      <c r="K10" s="266">
        <v>1192</v>
      </c>
      <c r="L10" s="266">
        <v>35</v>
      </c>
      <c r="M10" s="266">
        <v>446</v>
      </c>
      <c r="N10" s="266">
        <v>0</v>
      </c>
      <c r="O10" s="266">
        <v>0</v>
      </c>
      <c r="P10" s="266">
        <v>0</v>
      </c>
      <c r="Q10" s="266">
        <v>1125</v>
      </c>
      <c r="R10" s="266">
        <v>83</v>
      </c>
      <c r="S10" s="266">
        <v>282</v>
      </c>
      <c r="T10" s="266">
        <v>716</v>
      </c>
      <c r="U10" s="266">
        <v>0</v>
      </c>
      <c r="V10" s="266">
        <v>97</v>
      </c>
      <c r="W10" s="266">
        <v>52</v>
      </c>
      <c r="X10" s="266">
        <v>253</v>
      </c>
      <c r="Y10" s="266">
        <v>21</v>
      </c>
      <c r="Z10" s="266">
        <v>0</v>
      </c>
      <c r="AA10" s="266">
        <v>0</v>
      </c>
      <c r="AB10" s="266">
        <v>73</v>
      </c>
      <c r="AC10" s="266">
        <v>0</v>
      </c>
      <c r="AD10" s="266">
        <v>0</v>
      </c>
      <c r="AE10" s="266">
        <v>257</v>
      </c>
      <c r="AF10" s="266">
        <v>0</v>
      </c>
      <c r="AG10" s="266">
        <v>8</v>
      </c>
      <c r="AH10" s="266">
        <v>39</v>
      </c>
      <c r="AI10" s="266">
        <v>259</v>
      </c>
      <c r="AJ10" s="266">
        <v>29</v>
      </c>
      <c r="AK10" s="266">
        <v>0</v>
      </c>
      <c r="AL10" s="266">
        <v>407</v>
      </c>
      <c r="AM10" s="266">
        <v>474</v>
      </c>
      <c r="AN10" s="266">
        <v>70</v>
      </c>
      <c r="AO10" s="266">
        <v>77</v>
      </c>
      <c r="AP10" s="266">
        <v>336</v>
      </c>
      <c r="AQ10" s="266">
        <v>156</v>
      </c>
      <c r="AR10" s="266">
        <v>103</v>
      </c>
      <c r="AS10" s="266">
        <v>1</v>
      </c>
      <c r="AT10" s="266">
        <v>401</v>
      </c>
      <c r="AU10" s="266">
        <v>72</v>
      </c>
      <c r="AV10" s="266">
        <v>6</v>
      </c>
      <c r="AW10" s="266">
        <v>97</v>
      </c>
      <c r="AX10" s="266">
        <v>30</v>
      </c>
      <c r="AY10" s="266">
        <v>9</v>
      </c>
      <c r="AZ10" s="266">
        <v>213</v>
      </c>
      <c r="BA10" s="266">
        <v>0</v>
      </c>
      <c r="BB10" s="266">
        <v>0</v>
      </c>
      <c r="BC10" s="266">
        <v>0</v>
      </c>
      <c r="BD10" s="266">
        <v>129</v>
      </c>
      <c r="BE10" s="266">
        <v>72</v>
      </c>
      <c r="BF10" s="266">
        <v>1</v>
      </c>
      <c r="BG10" s="266">
        <v>1</v>
      </c>
      <c r="BH10" s="266">
        <v>3</v>
      </c>
      <c r="BI10" s="266">
        <v>2</v>
      </c>
      <c r="BJ10" s="266">
        <v>0</v>
      </c>
      <c r="BK10" s="266">
        <v>123</v>
      </c>
      <c r="BL10" s="266">
        <v>20</v>
      </c>
      <c r="BM10" s="266">
        <v>1</v>
      </c>
      <c r="BN10" s="266">
        <v>0</v>
      </c>
      <c r="BO10" s="266">
        <v>0</v>
      </c>
      <c r="BP10" s="266">
        <v>0</v>
      </c>
      <c r="BQ10" s="266">
        <v>23</v>
      </c>
      <c r="BR10" s="266">
        <v>0</v>
      </c>
      <c r="BS10" s="266">
        <v>19</v>
      </c>
      <c r="BT10" s="266">
        <v>22</v>
      </c>
      <c r="BU10" s="266">
        <v>0</v>
      </c>
      <c r="BV10" s="266">
        <v>5</v>
      </c>
      <c r="BW10" s="266">
        <v>60</v>
      </c>
      <c r="BX10" s="266">
        <v>4</v>
      </c>
      <c r="BY10" s="266">
        <v>2</v>
      </c>
      <c r="BZ10" s="266">
        <v>0</v>
      </c>
      <c r="CA10" s="266">
        <v>0</v>
      </c>
      <c r="CB10" s="266">
        <v>4</v>
      </c>
      <c r="CC10" s="266">
        <v>35</v>
      </c>
      <c r="CD10" s="266">
        <v>5</v>
      </c>
      <c r="CE10" s="266">
        <v>1</v>
      </c>
      <c r="CF10" s="266">
        <v>0</v>
      </c>
      <c r="CG10" s="266">
        <v>0</v>
      </c>
      <c r="CH10" s="266">
        <v>0</v>
      </c>
      <c r="CJ10" s="267">
        <f>SUM(C10:CI10)</f>
        <v>11904</v>
      </c>
    </row>
    <row r="11" spans="2:88" s="264" customFormat="1" ht="12.75">
      <c r="B11" s="265" t="s">
        <v>550</v>
      </c>
      <c r="C11" s="266">
        <v>7168</v>
      </c>
      <c r="D11" s="266">
        <v>2604</v>
      </c>
      <c r="E11" s="266">
        <v>0</v>
      </c>
      <c r="F11" s="266">
        <v>0</v>
      </c>
      <c r="G11" s="266">
        <v>71</v>
      </c>
      <c r="H11" s="266">
        <v>16</v>
      </c>
      <c r="I11" s="266">
        <v>0</v>
      </c>
      <c r="J11" s="266">
        <v>8648</v>
      </c>
      <c r="K11" s="266">
        <v>2564</v>
      </c>
      <c r="L11" s="266">
        <v>23</v>
      </c>
      <c r="M11" s="266">
        <v>2429</v>
      </c>
      <c r="N11" s="266">
        <v>1</v>
      </c>
      <c r="O11" s="266">
        <v>0</v>
      </c>
      <c r="P11" s="266">
        <v>0</v>
      </c>
      <c r="Q11" s="266">
        <v>2950</v>
      </c>
      <c r="R11" s="266">
        <v>111</v>
      </c>
      <c r="S11" s="266">
        <v>1577</v>
      </c>
      <c r="T11" s="266">
        <v>2463</v>
      </c>
      <c r="U11" s="266">
        <v>10</v>
      </c>
      <c r="V11" s="266">
        <v>557</v>
      </c>
      <c r="W11" s="266">
        <v>638</v>
      </c>
      <c r="X11" s="266">
        <v>1699</v>
      </c>
      <c r="Y11" s="266">
        <v>226</v>
      </c>
      <c r="Z11" s="266">
        <v>0</v>
      </c>
      <c r="AA11" s="266">
        <v>161</v>
      </c>
      <c r="AB11" s="266">
        <v>1522</v>
      </c>
      <c r="AC11" s="266">
        <v>75</v>
      </c>
      <c r="AD11" s="266">
        <v>0</v>
      </c>
      <c r="AE11" s="266">
        <v>766</v>
      </c>
      <c r="AF11" s="266">
        <v>0</v>
      </c>
      <c r="AG11" s="266">
        <v>399</v>
      </c>
      <c r="AH11" s="266">
        <v>2072</v>
      </c>
      <c r="AI11" s="266">
        <v>2360</v>
      </c>
      <c r="AJ11" s="266">
        <v>726</v>
      </c>
      <c r="AK11" s="266">
        <v>0.6</v>
      </c>
      <c r="AL11" s="266">
        <v>897</v>
      </c>
      <c r="AM11" s="266">
        <v>1141</v>
      </c>
      <c r="AN11" s="266">
        <v>1503</v>
      </c>
      <c r="AO11" s="266">
        <v>1745</v>
      </c>
      <c r="AP11" s="266">
        <v>733</v>
      </c>
      <c r="AQ11" s="266">
        <v>1093</v>
      </c>
      <c r="AR11" s="266">
        <v>1136</v>
      </c>
      <c r="AS11" s="266">
        <v>62</v>
      </c>
      <c r="AT11" s="266">
        <v>805</v>
      </c>
      <c r="AU11" s="266">
        <v>873</v>
      </c>
      <c r="AV11" s="266">
        <v>90</v>
      </c>
      <c r="AW11" s="266">
        <v>108</v>
      </c>
      <c r="AX11" s="266">
        <v>454</v>
      </c>
      <c r="AY11" s="266">
        <v>192</v>
      </c>
      <c r="AZ11" s="266">
        <v>759</v>
      </c>
      <c r="BA11" s="266">
        <v>10</v>
      </c>
      <c r="BB11" s="266">
        <v>1</v>
      </c>
      <c r="BC11" s="266">
        <v>0</v>
      </c>
      <c r="BD11" s="266">
        <v>906</v>
      </c>
      <c r="BE11" s="266">
        <v>518</v>
      </c>
      <c r="BF11" s="266">
        <v>33</v>
      </c>
      <c r="BG11" s="266">
        <v>51</v>
      </c>
      <c r="BH11" s="266">
        <v>185</v>
      </c>
      <c r="BI11" s="266">
        <v>86</v>
      </c>
      <c r="BJ11" s="266">
        <v>0</v>
      </c>
      <c r="BK11" s="266">
        <v>420</v>
      </c>
      <c r="BL11" s="266">
        <v>235</v>
      </c>
      <c r="BM11" s="266">
        <v>19</v>
      </c>
      <c r="BN11" s="266">
        <v>17</v>
      </c>
      <c r="BO11" s="266">
        <v>0.4</v>
      </c>
      <c r="BP11" s="266">
        <v>188</v>
      </c>
      <c r="BQ11" s="266">
        <v>256</v>
      </c>
      <c r="BR11" s="266">
        <v>204</v>
      </c>
      <c r="BS11" s="266">
        <v>223</v>
      </c>
      <c r="BT11" s="266">
        <v>166</v>
      </c>
      <c r="BU11" s="266">
        <v>65</v>
      </c>
      <c r="BV11" s="266">
        <v>186</v>
      </c>
      <c r="BW11" s="266">
        <v>141</v>
      </c>
      <c r="BX11" s="266">
        <v>68</v>
      </c>
      <c r="BY11" s="266">
        <v>130</v>
      </c>
      <c r="BZ11" s="266">
        <v>49</v>
      </c>
      <c r="CA11" s="266">
        <v>13</v>
      </c>
      <c r="CB11" s="266">
        <v>76</v>
      </c>
      <c r="CC11" s="266">
        <v>227</v>
      </c>
      <c r="CD11" s="266">
        <v>66</v>
      </c>
      <c r="CE11" s="266">
        <v>15</v>
      </c>
      <c r="CF11" s="266">
        <v>0</v>
      </c>
      <c r="CG11" s="266">
        <v>0</v>
      </c>
      <c r="CH11" s="266">
        <v>0</v>
      </c>
      <c r="CJ11" s="267">
        <f>SUM(C11:CI11)</f>
        <v>57982</v>
      </c>
    </row>
    <row r="12" spans="2:88" s="264" customFormat="1" ht="12.75">
      <c r="B12" s="265" t="s">
        <v>320</v>
      </c>
      <c r="C12" s="266">
        <v>4264</v>
      </c>
      <c r="D12" s="266">
        <v>2360</v>
      </c>
      <c r="E12" s="266">
        <v>0</v>
      </c>
      <c r="F12" s="266">
        <v>0</v>
      </c>
      <c r="G12" s="266">
        <v>65</v>
      </c>
      <c r="H12" s="266">
        <v>5</v>
      </c>
      <c r="I12" s="266">
        <v>0</v>
      </c>
      <c r="J12" s="266">
        <v>3607</v>
      </c>
      <c r="K12" s="266">
        <v>4275</v>
      </c>
      <c r="L12" s="266">
        <v>33</v>
      </c>
      <c r="M12" s="266">
        <v>3260</v>
      </c>
      <c r="N12" s="266">
        <v>2</v>
      </c>
      <c r="O12" s="266">
        <v>0</v>
      </c>
      <c r="P12" s="266">
        <v>0</v>
      </c>
      <c r="Q12" s="266">
        <v>1576</v>
      </c>
      <c r="R12" s="266">
        <v>148</v>
      </c>
      <c r="S12" s="266">
        <v>2047</v>
      </c>
      <c r="T12" s="266">
        <v>1134</v>
      </c>
      <c r="U12" s="266">
        <v>0</v>
      </c>
      <c r="V12" s="266">
        <v>468</v>
      </c>
      <c r="W12" s="266">
        <v>227</v>
      </c>
      <c r="X12" s="266">
        <v>1436</v>
      </c>
      <c r="Y12" s="266">
        <v>177</v>
      </c>
      <c r="Z12" s="266">
        <v>0</v>
      </c>
      <c r="AA12" s="266">
        <v>67</v>
      </c>
      <c r="AB12" s="266">
        <v>563</v>
      </c>
      <c r="AC12" s="266">
        <v>28</v>
      </c>
      <c r="AD12" s="266">
        <v>0</v>
      </c>
      <c r="AE12" s="266">
        <v>1005</v>
      </c>
      <c r="AF12" s="266">
        <v>114</v>
      </c>
      <c r="AG12" s="266">
        <v>251</v>
      </c>
      <c r="AH12" s="266">
        <v>1384</v>
      </c>
      <c r="AI12" s="266">
        <v>2413</v>
      </c>
      <c r="AJ12" s="266">
        <v>1322</v>
      </c>
      <c r="AK12" s="266">
        <v>0.7</v>
      </c>
      <c r="AL12" s="266">
        <v>787</v>
      </c>
      <c r="AM12" s="266">
        <v>1093</v>
      </c>
      <c r="AN12" s="266">
        <v>1982</v>
      </c>
      <c r="AO12" s="266">
        <v>307</v>
      </c>
      <c r="AP12" s="266">
        <v>540</v>
      </c>
      <c r="AQ12" s="266">
        <v>741</v>
      </c>
      <c r="AR12" s="266">
        <v>622</v>
      </c>
      <c r="AS12" s="266">
        <v>289</v>
      </c>
      <c r="AT12" s="266">
        <v>919</v>
      </c>
      <c r="AU12" s="266">
        <v>1315</v>
      </c>
      <c r="AV12" s="266">
        <v>106</v>
      </c>
      <c r="AW12" s="266">
        <v>512</v>
      </c>
      <c r="AX12" s="266">
        <v>451</v>
      </c>
      <c r="AY12" s="266">
        <v>209</v>
      </c>
      <c r="AZ12" s="266">
        <v>499</v>
      </c>
      <c r="BA12" s="266">
        <v>5</v>
      </c>
      <c r="BB12" s="266">
        <v>1</v>
      </c>
      <c r="BC12" s="266">
        <v>0</v>
      </c>
      <c r="BD12" s="266">
        <v>278</v>
      </c>
      <c r="BE12" s="266">
        <v>513</v>
      </c>
      <c r="BF12" s="266">
        <v>41</v>
      </c>
      <c r="BG12" s="266">
        <v>57</v>
      </c>
      <c r="BH12" s="266">
        <v>228</v>
      </c>
      <c r="BI12" s="266">
        <v>119</v>
      </c>
      <c r="BJ12" s="266">
        <v>0</v>
      </c>
      <c r="BK12" s="266">
        <v>403</v>
      </c>
      <c r="BL12" s="266">
        <v>167</v>
      </c>
      <c r="BM12" s="266">
        <v>6</v>
      </c>
      <c r="BN12" s="266">
        <v>150</v>
      </c>
      <c r="BO12" s="266">
        <v>0.3</v>
      </c>
      <c r="BP12" s="266">
        <v>33</v>
      </c>
      <c r="BQ12" s="266">
        <v>402</v>
      </c>
      <c r="BR12" s="266">
        <v>3</v>
      </c>
      <c r="BS12" s="266">
        <v>246</v>
      </c>
      <c r="BT12" s="266">
        <v>182</v>
      </c>
      <c r="BU12" s="266">
        <v>5</v>
      </c>
      <c r="BV12" s="266">
        <v>321</v>
      </c>
      <c r="BW12" s="266">
        <v>58</v>
      </c>
      <c r="BX12" s="266">
        <v>83</v>
      </c>
      <c r="BY12" s="266">
        <v>94</v>
      </c>
      <c r="BZ12" s="266">
        <v>43</v>
      </c>
      <c r="CA12" s="266">
        <v>2</v>
      </c>
      <c r="CB12" s="266">
        <v>61</v>
      </c>
      <c r="CC12" s="266">
        <v>0</v>
      </c>
      <c r="CD12" s="266">
        <v>57</v>
      </c>
      <c r="CE12" s="266">
        <v>27</v>
      </c>
      <c r="CF12" s="266">
        <v>0</v>
      </c>
      <c r="CG12" s="266">
        <v>0</v>
      </c>
      <c r="CH12" s="266">
        <v>0</v>
      </c>
      <c r="CJ12" s="267">
        <f>SUM(C12:CI12)</f>
        <v>46189</v>
      </c>
    </row>
    <row r="13" spans="2:88" s="268" customFormat="1" ht="13.5">
      <c r="B13" s="269" t="s">
        <v>434</v>
      </c>
      <c r="C13" s="270">
        <f>SUM(C9:C12)</f>
        <v>55459</v>
      </c>
      <c r="D13" s="270">
        <f>SUM(D9:D12)</f>
        <v>12808</v>
      </c>
      <c r="E13" s="270">
        <f aca="true" t="shared" si="0" ref="E13:BP13">SUM(E9:E12)</f>
        <v>0</v>
      </c>
      <c r="F13" s="270">
        <f t="shared" si="0"/>
        <v>0</v>
      </c>
      <c r="G13" s="270">
        <f t="shared" si="0"/>
        <v>502</v>
      </c>
      <c r="H13" s="270">
        <f t="shared" si="0"/>
        <v>51</v>
      </c>
      <c r="I13" s="270">
        <f t="shared" si="0"/>
        <v>0</v>
      </c>
      <c r="J13" s="270">
        <f t="shared" si="0"/>
        <v>45579</v>
      </c>
      <c r="K13" s="270">
        <f t="shared" si="0"/>
        <v>26580</v>
      </c>
      <c r="L13" s="270">
        <f t="shared" si="0"/>
        <v>455</v>
      </c>
      <c r="M13" s="270">
        <f t="shared" si="0"/>
        <v>27973</v>
      </c>
      <c r="N13" s="270">
        <f t="shared" si="0"/>
        <v>55</v>
      </c>
      <c r="O13" s="270">
        <f t="shared" si="0"/>
        <v>5</v>
      </c>
      <c r="P13" s="270">
        <f t="shared" si="0"/>
        <v>0</v>
      </c>
      <c r="Q13" s="270">
        <f t="shared" si="0"/>
        <v>24227</v>
      </c>
      <c r="R13" s="270">
        <f t="shared" si="0"/>
        <v>549</v>
      </c>
      <c r="S13" s="270">
        <f t="shared" si="0"/>
        <v>17516</v>
      </c>
      <c r="T13" s="270">
        <f t="shared" si="0"/>
        <v>18621</v>
      </c>
      <c r="U13" s="270">
        <f t="shared" si="0"/>
        <v>86</v>
      </c>
      <c r="V13" s="270">
        <f t="shared" si="0"/>
        <v>2493</v>
      </c>
      <c r="W13" s="270">
        <f t="shared" si="0"/>
        <v>1731</v>
      </c>
      <c r="X13" s="270">
        <f t="shared" si="0"/>
        <v>7702</v>
      </c>
      <c r="Y13" s="270">
        <f t="shared" si="0"/>
        <v>870</v>
      </c>
      <c r="Z13" s="270">
        <f t="shared" si="0"/>
        <v>0</v>
      </c>
      <c r="AA13" s="270">
        <f t="shared" si="0"/>
        <v>1567</v>
      </c>
      <c r="AB13" s="270">
        <f t="shared" si="0"/>
        <v>8845</v>
      </c>
      <c r="AC13" s="270">
        <f t="shared" si="0"/>
        <v>699</v>
      </c>
      <c r="AD13" s="270">
        <f t="shared" si="0"/>
        <v>0</v>
      </c>
      <c r="AE13" s="270">
        <f t="shared" si="0"/>
        <v>9112</v>
      </c>
      <c r="AF13" s="270">
        <f t="shared" si="0"/>
        <v>141</v>
      </c>
      <c r="AG13" s="270">
        <f t="shared" si="0"/>
        <v>2267</v>
      </c>
      <c r="AH13" s="270">
        <f t="shared" si="0"/>
        <v>10959</v>
      </c>
      <c r="AI13" s="270">
        <f t="shared" si="0"/>
        <v>9256</v>
      </c>
      <c r="AJ13" s="270">
        <f t="shared" si="0"/>
        <v>6517</v>
      </c>
      <c r="AK13" s="270">
        <f t="shared" si="0"/>
        <v>23.3</v>
      </c>
      <c r="AL13" s="270">
        <f t="shared" si="0"/>
        <v>7258</v>
      </c>
      <c r="AM13" s="270">
        <f t="shared" si="0"/>
        <v>6648</v>
      </c>
      <c r="AN13" s="270">
        <f t="shared" si="0"/>
        <v>4551</v>
      </c>
      <c r="AO13" s="270">
        <f t="shared" si="0"/>
        <v>5996</v>
      </c>
      <c r="AP13" s="270">
        <f t="shared" si="0"/>
        <v>5935</v>
      </c>
      <c r="AQ13" s="270">
        <f t="shared" si="0"/>
        <v>6009</v>
      </c>
      <c r="AR13" s="270">
        <f t="shared" si="0"/>
        <v>6653</v>
      </c>
      <c r="AS13" s="270">
        <f t="shared" si="0"/>
        <v>1313</v>
      </c>
      <c r="AT13" s="270">
        <f t="shared" si="0"/>
        <v>6053</v>
      </c>
      <c r="AU13" s="270">
        <f t="shared" si="0"/>
        <v>5088</v>
      </c>
      <c r="AV13" s="270">
        <f t="shared" si="0"/>
        <v>466</v>
      </c>
      <c r="AW13" s="270">
        <f t="shared" si="0"/>
        <v>1195</v>
      </c>
      <c r="AX13" s="270">
        <f t="shared" si="0"/>
        <v>2265</v>
      </c>
      <c r="AY13" s="270">
        <f t="shared" si="0"/>
        <v>835</v>
      </c>
      <c r="AZ13" s="270">
        <f t="shared" si="0"/>
        <v>3825</v>
      </c>
      <c r="BA13" s="270">
        <f t="shared" si="0"/>
        <v>106</v>
      </c>
      <c r="BB13" s="270">
        <f t="shared" si="0"/>
        <v>29</v>
      </c>
      <c r="BC13" s="270">
        <f t="shared" si="0"/>
        <v>0</v>
      </c>
      <c r="BD13" s="270">
        <f t="shared" si="0"/>
        <v>4001</v>
      </c>
      <c r="BE13" s="270">
        <f t="shared" si="0"/>
        <v>2934</v>
      </c>
      <c r="BF13" s="270">
        <f>SUM(BF9:BF12)</f>
        <v>287</v>
      </c>
      <c r="BG13" s="270">
        <f t="shared" si="0"/>
        <v>368</v>
      </c>
      <c r="BH13" s="270">
        <f t="shared" si="0"/>
        <v>1589</v>
      </c>
      <c r="BI13" s="270">
        <f t="shared" si="0"/>
        <v>804</v>
      </c>
      <c r="BJ13" s="270">
        <f>SUM(BJ9:BJ12)</f>
        <v>0</v>
      </c>
      <c r="BK13" s="270">
        <f t="shared" si="0"/>
        <v>3076</v>
      </c>
      <c r="BL13" s="270">
        <f t="shared" si="0"/>
        <v>1692</v>
      </c>
      <c r="BM13" s="270">
        <f t="shared" si="0"/>
        <v>116</v>
      </c>
      <c r="BN13" s="270">
        <f t="shared" si="0"/>
        <v>410</v>
      </c>
      <c r="BO13" s="270">
        <f t="shared" si="0"/>
        <v>4.7</v>
      </c>
      <c r="BP13" s="270">
        <f t="shared" si="0"/>
        <v>716</v>
      </c>
      <c r="BQ13" s="270">
        <f aca="true" t="shared" si="1" ref="BQ13:CH13">SUM(BQ9:BQ12)</f>
        <v>1878</v>
      </c>
      <c r="BR13" s="270">
        <f t="shared" si="1"/>
        <v>435</v>
      </c>
      <c r="BS13" s="270">
        <f t="shared" si="1"/>
        <v>1027</v>
      </c>
      <c r="BT13" s="270">
        <f t="shared" si="1"/>
        <v>715</v>
      </c>
      <c r="BU13" s="270">
        <f t="shared" si="1"/>
        <v>631</v>
      </c>
      <c r="BV13" s="270">
        <f t="shared" si="1"/>
        <v>1124</v>
      </c>
      <c r="BW13" s="270">
        <f t="shared" si="1"/>
        <v>710</v>
      </c>
      <c r="BX13" s="270">
        <f t="shared" si="1"/>
        <v>410</v>
      </c>
      <c r="BY13" s="270">
        <f t="shared" si="1"/>
        <v>569</v>
      </c>
      <c r="BZ13" s="270">
        <f t="shared" si="1"/>
        <v>96</v>
      </c>
      <c r="CA13" s="270">
        <f t="shared" si="1"/>
        <v>183</v>
      </c>
      <c r="CB13" s="270">
        <f t="shared" si="1"/>
        <v>420</v>
      </c>
      <c r="CC13" s="270">
        <f t="shared" si="1"/>
        <v>356</v>
      </c>
      <c r="CD13" s="270">
        <f t="shared" si="1"/>
        <v>250</v>
      </c>
      <c r="CE13" s="270">
        <f t="shared" si="1"/>
        <v>140</v>
      </c>
      <c r="CF13" s="270">
        <f t="shared" si="1"/>
        <v>17</v>
      </c>
      <c r="CG13" s="270">
        <f t="shared" si="1"/>
        <v>2</v>
      </c>
      <c r="CH13" s="270">
        <f t="shared" si="1"/>
        <v>8</v>
      </c>
      <c r="CI13" s="270"/>
      <c r="CJ13" s="267">
        <f>SUM(C13:CI13)</f>
        <v>381842</v>
      </c>
    </row>
    <row r="14" spans="1:88" s="264" customFormat="1" ht="12.75">
      <c r="A14" s="268"/>
      <c r="B14" s="271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J14" s="267"/>
    </row>
    <row r="15" spans="1:88" s="264" customFormat="1" ht="12.75">
      <c r="A15" s="263" t="s">
        <v>321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J15" s="267"/>
    </row>
    <row r="16" spans="2:88" s="264" customFormat="1" ht="12.75">
      <c r="B16" s="265" t="s">
        <v>509</v>
      </c>
      <c r="C16" s="266">
        <v>419</v>
      </c>
      <c r="D16" s="266">
        <v>107</v>
      </c>
      <c r="E16" s="266">
        <v>0</v>
      </c>
      <c r="F16" s="266">
        <v>0</v>
      </c>
      <c r="G16" s="266">
        <v>10</v>
      </c>
      <c r="H16" s="266">
        <v>0</v>
      </c>
      <c r="I16" s="266">
        <v>0</v>
      </c>
      <c r="J16" s="266">
        <v>1487</v>
      </c>
      <c r="K16" s="266">
        <v>888</v>
      </c>
      <c r="L16" s="266">
        <v>0</v>
      </c>
      <c r="M16" s="266">
        <v>921</v>
      </c>
      <c r="N16" s="266">
        <v>0</v>
      </c>
      <c r="O16" s="266">
        <v>0</v>
      </c>
      <c r="P16" s="266">
        <v>0</v>
      </c>
      <c r="Q16" s="266">
        <v>377</v>
      </c>
      <c r="R16" s="266">
        <v>0</v>
      </c>
      <c r="S16" s="266">
        <v>0</v>
      </c>
      <c r="T16" s="266">
        <v>65</v>
      </c>
      <c r="U16" s="266">
        <v>0</v>
      </c>
      <c r="V16" s="266">
        <v>4</v>
      </c>
      <c r="W16" s="266">
        <v>7</v>
      </c>
      <c r="X16" s="266">
        <v>47</v>
      </c>
      <c r="Y16" s="266">
        <v>1</v>
      </c>
      <c r="Z16" s="266">
        <v>0</v>
      </c>
      <c r="AA16" s="266">
        <v>0</v>
      </c>
      <c r="AB16" s="266">
        <v>37</v>
      </c>
      <c r="AC16" s="266">
        <v>0</v>
      </c>
      <c r="AD16" s="266">
        <v>0</v>
      </c>
      <c r="AE16" s="266">
        <v>266</v>
      </c>
      <c r="AF16" s="266">
        <v>0</v>
      </c>
      <c r="AG16" s="266">
        <v>334</v>
      </c>
      <c r="AH16" s="266">
        <v>2154</v>
      </c>
      <c r="AI16" s="266">
        <v>14</v>
      </c>
      <c r="AJ16" s="266">
        <v>4</v>
      </c>
      <c r="AK16" s="266">
        <v>0</v>
      </c>
      <c r="AL16" s="266">
        <v>60</v>
      </c>
      <c r="AM16" s="266">
        <v>7</v>
      </c>
      <c r="AN16" s="266">
        <v>0</v>
      </c>
      <c r="AO16" s="266">
        <v>2</v>
      </c>
      <c r="AP16" s="266">
        <v>26</v>
      </c>
      <c r="AQ16" s="266">
        <v>43</v>
      </c>
      <c r="AR16" s="266">
        <v>698</v>
      </c>
      <c r="AS16" s="266">
        <v>0</v>
      </c>
      <c r="AT16" s="266">
        <v>23</v>
      </c>
      <c r="AU16" s="266">
        <v>18</v>
      </c>
      <c r="AV16" s="266">
        <v>0</v>
      </c>
      <c r="AW16" s="266">
        <v>0</v>
      </c>
      <c r="AX16" s="266">
        <v>16</v>
      </c>
      <c r="AY16" s="266">
        <v>1</v>
      </c>
      <c r="AZ16" s="266">
        <v>0</v>
      </c>
      <c r="BA16" s="266">
        <v>0</v>
      </c>
      <c r="BB16" s="266">
        <v>0</v>
      </c>
      <c r="BC16" s="266">
        <v>0</v>
      </c>
      <c r="BD16" s="266">
        <v>1369</v>
      </c>
      <c r="BE16" s="266">
        <v>25</v>
      </c>
      <c r="BF16" s="266">
        <v>0</v>
      </c>
      <c r="BG16" s="266">
        <v>0</v>
      </c>
      <c r="BH16" s="266">
        <v>0</v>
      </c>
      <c r="BI16" s="266">
        <v>0</v>
      </c>
      <c r="BJ16" s="266">
        <v>0</v>
      </c>
      <c r="BK16" s="266">
        <v>1</v>
      </c>
      <c r="BL16" s="266">
        <v>0</v>
      </c>
      <c r="BM16" s="266">
        <v>0</v>
      </c>
      <c r="BN16" s="266">
        <v>859</v>
      </c>
      <c r="BO16" s="266">
        <v>0</v>
      </c>
      <c r="BP16" s="266">
        <v>0</v>
      </c>
      <c r="BQ16" s="266">
        <v>2</v>
      </c>
      <c r="BR16" s="266">
        <v>0</v>
      </c>
      <c r="BS16" s="266">
        <v>0</v>
      </c>
      <c r="BT16" s="266">
        <v>0</v>
      </c>
      <c r="BU16" s="266">
        <v>65</v>
      </c>
      <c r="BV16" s="266">
        <v>0</v>
      </c>
      <c r="BW16" s="266">
        <v>1</v>
      </c>
      <c r="BX16" s="266">
        <v>0</v>
      </c>
      <c r="BY16" s="266">
        <v>10</v>
      </c>
      <c r="BZ16" s="266">
        <v>15</v>
      </c>
      <c r="CA16" s="266">
        <v>0</v>
      </c>
      <c r="CB16" s="266">
        <v>0</v>
      </c>
      <c r="CC16" s="266">
        <v>21</v>
      </c>
      <c r="CD16" s="266">
        <v>0</v>
      </c>
      <c r="CE16" s="266">
        <v>0</v>
      </c>
      <c r="CF16" s="266">
        <v>0</v>
      </c>
      <c r="CG16" s="266">
        <v>0</v>
      </c>
      <c r="CH16" s="266">
        <v>0</v>
      </c>
      <c r="CJ16" s="267">
        <f aca="true" t="shared" si="2" ref="CJ16:CJ37">SUM(C16:CI16)</f>
        <v>10404</v>
      </c>
    </row>
    <row r="17" spans="2:88" s="264" customFormat="1" ht="12.75">
      <c r="B17" s="265" t="s">
        <v>510</v>
      </c>
      <c r="C17" s="266">
        <v>1833</v>
      </c>
      <c r="D17" s="266">
        <v>906</v>
      </c>
      <c r="E17" s="266">
        <v>0</v>
      </c>
      <c r="F17" s="266">
        <v>0</v>
      </c>
      <c r="G17" s="266">
        <v>0</v>
      </c>
      <c r="H17" s="266">
        <v>0</v>
      </c>
      <c r="I17" s="266">
        <v>0</v>
      </c>
      <c r="J17" s="266">
        <v>572</v>
      </c>
      <c r="K17" s="266">
        <v>1243</v>
      </c>
      <c r="L17" s="266">
        <v>0</v>
      </c>
      <c r="M17" s="266">
        <v>481</v>
      </c>
      <c r="N17" s="266">
        <v>0</v>
      </c>
      <c r="O17" s="266">
        <v>0</v>
      </c>
      <c r="P17" s="266">
        <v>0</v>
      </c>
      <c r="Q17" s="266">
        <v>852</v>
      </c>
      <c r="R17" s="266">
        <v>0</v>
      </c>
      <c r="S17" s="266">
        <v>6</v>
      </c>
      <c r="T17" s="266">
        <v>498</v>
      </c>
      <c r="U17" s="266">
        <v>0</v>
      </c>
      <c r="V17" s="266">
        <v>52</v>
      </c>
      <c r="W17" s="266">
        <v>29</v>
      </c>
      <c r="X17" s="266">
        <v>186</v>
      </c>
      <c r="Y17" s="266">
        <v>10</v>
      </c>
      <c r="Z17" s="266">
        <v>0</v>
      </c>
      <c r="AA17" s="266">
        <v>29</v>
      </c>
      <c r="AB17" s="266">
        <v>266</v>
      </c>
      <c r="AC17" s="266">
        <v>0</v>
      </c>
      <c r="AD17" s="266">
        <v>0</v>
      </c>
      <c r="AE17" s="266">
        <v>108</v>
      </c>
      <c r="AF17" s="266">
        <v>0</v>
      </c>
      <c r="AG17" s="266">
        <v>8</v>
      </c>
      <c r="AH17" s="266">
        <v>27</v>
      </c>
      <c r="AI17" s="266">
        <v>103</v>
      </c>
      <c r="AJ17" s="266">
        <v>114</v>
      </c>
      <c r="AK17" s="266">
        <v>0</v>
      </c>
      <c r="AL17" s="266">
        <v>239</v>
      </c>
      <c r="AM17" s="266">
        <v>429</v>
      </c>
      <c r="AN17" s="266">
        <v>77</v>
      </c>
      <c r="AO17" s="266">
        <v>158</v>
      </c>
      <c r="AP17" s="266">
        <v>239</v>
      </c>
      <c r="AQ17" s="266">
        <v>192</v>
      </c>
      <c r="AR17" s="266">
        <v>369</v>
      </c>
      <c r="AS17" s="266">
        <v>0</v>
      </c>
      <c r="AT17" s="266">
        <v>162</v>
      </c>
      <c r="AU17" s="266">
        <v>63</v>
      </c>
      <c r="AV17" s="266">
        <v>0</v>
      </c>
      <c r="AW17" s="266">
        <v>0</v>
      </c>
      <c r="AX17" s="266">
        <v>5</v>
      </c>
      <c r="AY17" s="266">
        <v>10</v>
      </c>
      <c r="AZ17" s="266">
        <v>0</v>
      </c>
      <c r="BA17" s="266">
        <v>0</v>
      </c>
      <c r="BB17" s="266">
        <v>0</v>
      </c>
      <c r="BC17" s="266">
        <v>0</v>
      </c>
      <c r="BD17" s="266">
        <v>253</v>
      </c>
      <c r="BE17" s="266">
        <v>92</v>
      </c>
      <c r="BF17" s="266">
        <v>0</v>
      </c>
      <c r="BG17" s="266">
        <v>0</v>
      </c>
      <c r="BH17" s="266">
        <v>0</v>
      </c>
      <c r="BI17" s="266">
        <v>0</v>
      </c>
      <c r="BJ17" s="266">
        <v>0</v>
      </c>
      <c r="BK17" s="266">
        <v>72</v>
      </c>
      <c r="BL17" s="266">
        <v>43</v>
      </c>
      <c r="BM17" s="266">
        <v>38</v>
      </c>
      <c r="BN17" s="266">
        <v>0</v>
      </c>
      <c r="BO17" s="266">
        <v>0</v>
      </c>
      <c r="BP17" s="266">
        <v>64</v>
      </c>
      <c r="BQ17" s="266">
        <v>25</v>
      </c>
      <c r="BR17" s="266">
        <v>26</v>
      </c>
      <c r="BS17" s="266">
        <v>7</v>
      </c>
      <c r="BT17" s="266">
        <v>16</v>
      </c>
      <c r="BU17" s="266">
        <v>35</v>
      </c>
      <c r="BV17" s="266">
        <v>6</v>
      </c>
      <c r="BW17" s="266">
        <v>25</v>
      </c>
      <c r="BX17" s="266">
        <v>24</v>
      </c>
      <c r="BY17" s="266">
        <v>9</v>
      </c>
      <c r="BZ17" s="266">
        <v>83</v>
      </c>
      <c r="CA17" s="266">
        <v>5</v>
      </c>
      <c r="CB17" s="266">
        <v>1</v>
      </c>
      <c r="CC17" s="266">
        <v>0</v>
      </c>
      <c r="CD17" s="266">
        <v>47</v>
      </c>
      <c r="CE17" s="266">
        <v>0</v>
      </c>
      <c r="CF17" s="266">
        <v>0</v>
      </c>
      <c r="CG17" s="266">
        <v>0</v>
      </c>
      <c r="CH17" s="266">
        <v>0</v>
      </c>
      <c r="CJ17" s="267">
        <f t="shared" si="2"/>
        <v>10137</v>
      </c>
    </row>
    <row r="18" spans="2:88" s="264" customFormat="1" ht="12.75">
      <c r="B18" s="265" t="s">
        <v>511</v>
      </c>
      <c r="C18" s="266">
        <v>703</v>
      </c>
      <c r="D18" s="266">
        <v>120</v>
      </c>
      <c r="E18" s="266">
        <v>0</v>
      </c>
      <c r="F18" s="266">
        <v>0</v>
      </c>
      <c r="G18" s="266">
        <v>0</v>
      </c>
      <c r="H18" s="266">
        <v>0</v>
      </c>
      <c r="I18" s="266">
        <v>0</v>
      </c>
      <c r="J18" s="266">
        <v>5049</v>
      </c>
      <c r="K18" s="266">
        <v>990</v>
      </c>
      <c r="L18" s="266">
        <v>0</v>
      </c>
      <c r="M18" s="266">
        <v>1819</v>
      </c>
      <c r="N18" s="266">
        <v>0</v>
      </c>
      <c r="O18" s="266">
        <v>0</v>
      </c>
      <c r="P18" s="266">
        <v>0</v>
      </c>
      <c r="Q18" s="266">
        <v>948</v>
      </c>
      <c r="R18" s="266">
        <v>0</v>
      </c>
      <c r="S18" s="266">
        <v>221</v>
      </c>
      <c r="T18" s="266">
        <v>0</v>
      </c>
      <c r="U18" s="266">
        <v>0</v>
      </c>
      <c r="V18" s="266">
        <v>40</v>
      </c>
      <c r="W18" s="266">
        <v>22</v>
      </c>
      <c r="X18" s="266">
        <v>142</v>
      </c>
      <c r="Y18" s="266">
        <v>8</v>
      </c>
      <c r="Z18" s="266">
        <v>0</v>
      </c>
      <c r="AA18" s="266">
        <v>37</v>
      </c>
      <c r="AB18" s="266">
        <v>375</v>
      </c>
      <c r="AC18" s="266">
        <v>1</v>
      </c>
      <c r="AD18" s="266">
        <v>0</v>
      </c>
      <c r="AE18" s="266">
        <v>201</v>
      </c>
      <c r="AF18" s="266">
        <v>0</v>
      </c>
      <c r="AG18" s="266">
        <v>108</v>
      </c>
      <c r="AH18" s="266">
        <v>38</v>
      </c>
      <c r="AI18" s="266">
        <v>387</v>
      </c>
      <c r="AJ18" s="266">
        <v>606</v>
      </c>
      <c r="AK18" s="266">
        <v>0</v>
      </c>
      <c r="AL18" s="266">
        <v>263</v>
      </c>
      <c r="AM18" s="266">
        <v>423</v>
      </c>
      <c r="AN18" s="266">
        <v>0</v>
      </c>
      <c r="AO18" s="266">
        <v>157</v>
      </c>
      <c r="AP18" s="266">
        <v>260</v>
      </c>
      <c r="AQ18" s="266">
        <v>188</v>
      </c>
      <c r="AR18" s="266">
        <v>420</v>
      </c>
      <c r="AS18" s="266">
        <v>0</v>
      </c>
      <c r="AT18" s="266">
        <v>531</v>
      </c>
      <c r="AU18" s="266">
        <v>151</v>
      </c>
      <c r="AV18" s="266">
        <v>0</v>
      </c>
      <c r="AW18" s="266">
        <v>0</v>
      </c>
      <c r="AX18" s="266">
        <v>2</v>
      </c>
      <c r="AY18" s="266">
        <v>0</v>
      </c>
      <c r="AZ18" s="266">
        <v>1</v>
      </c>
      <c r="BA18" s="266">
        <v>0</v>
      </c>
      <c r="BB18" s="266">
        <v>0</v>
      </c>
      <c r="BC18" s="266">
        <v>0</v>
      </c>
      <c r="BD18" s="266">
        <v>0</v>
      </c>
      <c r="BE18" s="266">
        <v>122</v>
      </c>
      <c r="BF18" s="266">
        <v>1</v>
      </c>
      <c r="BG18" s="266">
        <v>1</v>
      </c>
      <c r="BH18" s="266">
        <v>0</v>
      </c>
      <c r="BI18" s="266">
        <v>2</v>
      </c>
      <c r="BJ18" s="266">
        <v>0</v>
      </c>
      <c r="BK18" s="266">
        <v>112</v>
      </c>
      <c r="BL18" s="266">
        <v>85</v>
      </c>
      <c r="BM18" s="266">
        <v>33</v>
      </c>
      <c r="BN18" s="266">
        <v>5</v>
      </c>
      <c r="BO18" s="266">
        <v>0</v>
      </c>
      <c r="BP18" s="266">
        <v>67</v>
      </c>
      <c r="BQ18" s="266">
        <v>14</v>
      </c>
      <c r="BR18" s="266">
        <v>24</v>
      </c>
      <c r="BS18" s="266">
        <v>2</v>
      </c>
      <c r="BT18" s="266">
        <v>0</v>
      </c>
      <c r="BU18" s="266">
        <v>113</v>
      </c>
      <c r="BV18" s="266">
        <v>6</v>
      </c>
      <c r="BW18" s="266">
        <v>0</v>
      </c>
      <c r="BX18" s="266">
        <v>25</v>
      </c>
      <c r="BY18" s="266">
        <v>37</v>
      </c>
      <c r="BZ18" s="266">
        <v>50</v>
      </c>
      <c r="CA18" s="266">
        <v>31</v>
      </c>
      <c r="CB18" s="266">
        <v>8</v>
      </c>
      <c r="CC18" s="266">
        <v>0</v>
      </c>
      <c r="CD18" s="266">
        <v>5</v>
      </c>
      <c r="CE18" s="266">
        <v>0</v>
      </c>
      <c r="CF18" s="266">
        <v>0</v>
      </c>
      <c r="CG18" s="266">
        <v>0</v>
      </c>
      <c r="CH18" s="266">
        <v>0</v>
      </c>
      <c r="CJ18" s="267">
        <f t="shared" si="2"/>
        <v>14954</v>
      </c>
    </row>
    <row r="19" spans="2:88" s="264" customFormat="1" ht="12.75">
      <c r="B19" s="265" t="s">
        <v>512</v>
      </c>
      <c r="C19" s="266">
        <v>60</v>
      </c>
      <c r="D19" s="266">
        <v>40</v>
      </c>
      <c r="E19" s="266">
        <v>0</v>
      </c>
      <c r="F19" s="266">
        <v>0</v>
      </c>
      <c r="G19" s="266">
        <v>0</v>
      </c>
      <c r="H19" s="266">
        <v>0</v>
      </c>
      <c r="I19" s="266">
        <v>0</v>
      </c>
      <c r="J19" s="266">
        <v>299</v>
      </c>
      <c r="K19" s="266">
        <v>569</v>
      </c>
      <c r="L19" s="266">
        <v>0</v>
      </c>
      <c r="M19" s="266">
        <v>467</v>
      </c>
      <c r="N19" s="266">
        <v>0</v>
      </c>
      <c r="O19" s="266">
        <v>0</v>
      </c>
      <c r="P19" s="266">
        <v>0</v>
      </c>
      <c r="Q19" s="266">
        <v>299</v>
      </c>
      <c r="R19" s="266">
        <v>0</v>
      </c>
      <c r="S19" s="266">
        <v>622</v>
      </c>
      <c r="T19" s="266">
        <v>36</v>
      </c>
      <c r="U19" s="266">
        <v>0</v>
      </c>
      <c r="V19" s="266">
        <v>86</v>
      </c>
      <c r="W19" s="266">
        <v>54</v>
      </c>
      <c r="X19" s="266">
        <v>292</v>
      </c>
      <c r="Y19" s="266">
        <v>24</v>
      </c>
      <c r="Z19" s="266">
        <v>0</v>
      </c>
      <c r="AA19" s="266">
        <v>55</v>
      </c>
      <c r="AB19" s="266">
        <v>279</v>
      </c>
      <c r="AC19" s="266">
        <v>3</v>
      </c>
      <c r="AD19" s="266">
        <v>0</v>
      </c>
      <c r="AE19" s="266">
        <v>233</v>
      </c>
      <c r="AF19" s="266">
        <v>4</v>
      </c>
      <c r="AG19" s="266">
        <v>10</v>
      </c>
      <c r="AH19" s="266">
        <v>69</v>
      </c>
      <c r="AI19" s="266">
        <v>434</v>
      </c>
      <c r="AJ19" s="266">
        <v>302</v>
      </c>
      <c r="AK19" s="266">
        <v>0</v>
      </c>
      <c r="AL19" s="266">
        <v>20</v>
      </c>
      <c r="AM19" s="266">
        <v>59</v>
      </c>
      <c r="AN19" s="266">
        <v>169</v>
      </c>
      <c r="AO19" s="266">
        <v>528</v>
      </c>
      <c r="AP19" s="266">
        <v>30</v>
      </c>
      <c r="AQ19" s="266">
        <v>113</v>
      </c>
      <c r="AR19" s="266">
        <v>54</v>
      </c>
      <c r="AS19" s="266">
        <v>161</v>
      </c>
      <c r="AT19" s="266">
        <v>99</v>
      </c>
      <c r="AU19" s="266">
        <v>49</v>
      </c>
      <c r="AV19" s="266">
        <v>0</v>
      </c>
      <c r="AW19" s="266">
        <v>0</v>
      </c>
      <c r="AX19" s="266">
        <v>0</v>
      </c>
      <c r="AY19" s="266">
        <v>0</v>
      </c>
      <c r="AZ19" s="266">
        <v>162</v>
      </c>
      <c r="BA19" s="266">
        <v>1</v>
      </c>
      <c r="BB19" s="266">
        <v>0</v>
      </c>
      <c r="BC19" s="266">
        <v>0</v>
      </c>
      <c r="BD19" s="266">
        <v>0</v>
      </c>
      <c r="BE19" s="266">
        <v>88</v>
      </c>
      <c r="BF19" s="266">
        <v>0</v>
      </c>
      <c r="BG19" s="266">
        <v>0</v>
      </c>
      <c r="BH19" s="266">
        <v>1</v>
      </c>
      <c r="BI19" s="266">
        <v>0</v>
      </c>
      <c r="BJ19" s="266">
        <v>0</v>
      </c>
      <c r="BK19" s="266">
        <v>40</v>
      </c>
      <c r="BL19" s="266">
        <v>19</v>
      </c>
      <c r="BM19" s="266">
        <v>0</v>
      </c>
      <c r="BN19" s="266">
        <v>10</v>
      </c>
      <c r="BO19" s="266">
        <v>0</v>
      </c>
      <c r="BP19" s="266">
        <v>34</v>
      </c>
      <c r="BQ19" s="266">
        <v>13</v>
      </c>
      <c r="BR19" s="266">
        <v>91</v>
      </c>
      <c r="BS19" s="266">
        <v>3</v>
      </c>
      <c r="BT19" s="266">
        <v>32</v>
      </c>
      <c r="BU19" s="266">
        <v>11</v>
      </c>
      <c r="BV19" s="266">
        <v>2</v>
      </c>
      <c r="BW19" s="266">
        <v>25</v>
      </c>
      <c r="BX19" s="266">
        <v>9</v>
      </c>
      <c r="BY19" s="266">
        <v>0</v>
      </c>
      <c r="BZ19" s="266">
        <v>46</v>
      </c>
      <c r="CA19" s="266">
        <v>8</v>
      </c>
      <c r="CB19" s="266">
        <v>2</v>
      </c>
      <c r="CC19" s="266">
        <v>0</v>
      </c>
      <c r="CD19" s="266">
        <v>0</v>
      </c>
      <c r="CE19" s="266">
        <v>0</v>
      </c>
      <c r="CF19" s="266">
        <v>0</v>
      </c>
      <c r="CG19" s="266">
        <v>0</v>
      </c>
      <c r="CH19" s="266">
        <v>0</v>
      </c>
      <c r="CJ19" s="267">
        <f t="shared" si="2"/>
        <v>6116</v>
      </c>
    </row>
    <row r="20" spans="2:88" s="264" customFormat="1" ht="12.75">
      <c r="B20" s="265" t="s">
        <v>513</v>
      </c>
      <c r="C20" s="266">
        <v>18383</v>
      </c>
      <c r="D20" s="266">
        <v>7529</v>
      </c>
      <c r="E20" s="266">
        <v>74</v>
      </c>
      <c r="F20" s="266">
        <v>0</v>
      </c>
      <c r="G20" s="266">
        <v>0</v>
      </c>
      <c r="H20" s="266">
        <v>0</v>
      </c>
      <c r="I20" s="266">
        <v>0</v>
      </c>
      <c r="J20" s="266">
        <v>22243</v>
      </c>
      <c r="K20" s="266">
        <v>8696</v>
      </c>
      <c r="L20" s="266">
        <v>0</v>
      </c>
      <c r="M20" s="266">
        <v>4043</v>
      </c>
      <c r="N20" s="266">
        <v>0</v>
      </c>
      <c r="O20" s="266">
        <v>0</v>
      </c>
      <c r="P20" s="266">
        <v>0</v>
      </c>
      <c r="Q20" s="266">
        <v>10176</v>
      </c>
      <c r="R20" s="266">
        <v>395</v>
      </c>
      <c r="S20" s="266">
        <v>1306</v>
      </c>
      <c r="T20" s="266">
        <v>1099</v>
      </c>
      <c r="U20" s="266">
        <v>0</v>
      </c>
      <c r="V20" s="266">
        <v>258</v>
      </c>
      <c r="W20" s="266">
        <v>147</v>
      </c>
      <c r="X20" s="266">
        <v>934</v>
      </c>
      <c r="Y20" s="266">
        <v>47</v>
      </c>
      <c r="Z20" s="266">
        <v>0</v>
      </c>
      <c r="AA20" s="266">
        <v>0</v>
      </c>
      <c r="AB20" s="266">
        <v>211</v>
      </c>
      <c r="AC20" s="266">
        <v>0</v>
      </c>
      <c r="AD20" s="266">
        <v>0</v>
      </c>
      <c r="AE20" s="266">
        <v>6639</v>
      </c>
      <c r="AF20" s="266">
        <v>128</v>
      </c>
      <c r="AG20" s="266">
        <v>877</v>
      </c>
      <c r="AH20" s="266">
        <v>1442</v>
      </c>
      <c r="AI20" s="266">
        <v>3973</v>
      </c>
      <c r="AJ20" s="266">
        <v>1360</v>
      </c>
      <c r="AK20" s="266">
        <v>0</v>
      </c>
      <c r="AL20" s="266">
        <v>2282</v>
      </c>
      <c r="AM20" s="266">
        <v>688</v>
      </c>
      <c r="AN20" s="266">
        <v>3973</v>
      </c>
      <c r="AO20" s="266">
        <v>1266</v>
      </c>
      <c r="AP20" s="266">
        <v>1660</v>
      </c>
      <c r="AQ20" s="266">
        <v>1</v>
      </c>
      <c r="AR20" s="266">
        <v>755</v>
      </c>
      <c r="AS20" s="266">
        <v>1989</v>
      </c>
      <c r="AT20" s="266">
        <v>10</v>
      </c>
      <c r="AU20" s="266">
        <v>1372</v>
      </c>
      <c r="AV20" s="266">
        <v>0</v>
      </c>
      <c r="AW20" s="266">
        <v>0</v>
      </c>
      <c r="AX20" s="266">
        <v>0</v>
      </c>
      <c r="AY20" s="266">
        <v>0</v>
      </c>
      <c r="AZ20" s="266">
        <v>1247</v>
      </c>
      <c r="BA20" s="266">
        <v>0</v>
      </c>
      <c r="BB20" s="266">
        <v>0</v>
      </c>
      <c r="BC20" s="266">
        <v>0</v>
      </c>
      <c r="BD20" s="266">
        <v>427</v>
      </c>
      <c r="BE20" s="266">
        <v>631</v>
      </c>
      <c r="BF20" s="266">
        <v>0</v>
      </c>
      <c r="BG20" s="266">
        <v>0</v>
      </c>
      <c r="BH20" s="266">
        <v>0</v>
      </c>
      <c r="BI20" s="266">
        <v>0</v>
      </c>
      <c r="BJ20" s="266">
        <v>0</v>
      </c>
      <c r="BK20" s="266">
        <v>0</v>
      </c>
      <c r="BL20" s="266">
        <v>126</v>
      </c>
      <c r="BM20" s="266">
        <v>5</v>
      </c>
      <c r="BN20" s="266">
        <v>1</v>
      </c>
      <c r="BO20" s="266">
        <v>0</v>
      </c>
      <c r="BP20" s="266">
        <v>59</v>
      </c>
      <c r="BQ20" s="266">
        <v>50</v>
      </c>
      <c r="BR20" s="266">
        <v>385</v>
      </c>
      <c r="BS20" s="266">
        <v>88</v>
      </c>
      <c r="BT20" s="266">
        <v>371</v>
      </c>
      <c r="BU20" s="266">
        <v>90</v>
      </c>
      <c r="BV20" s="266">
        <v>35</v>
      </c>
      <c r="BW20" s="266">
        <v>133</v>
      </c>
      <c r="BX20" s="266">
        <v>85</v>
      </c>
      <c r="BY20" s="266">
        <v>0</v>
      </c>
      <c r="BZ20" s="266">
        <v>9</v>
      </c>
      <c r="CA20" s="266">
        <v>102</v>
      </c>
      <c r="CB20" s="266">
        <v>8</v>
      </c>
      <c r="CC20" s="266">
        <v>33</v>
      </c>
      <c r="CD20" s="266">
        <v>10</v>
      </c>
      <c r="CE20" s="266">
        <v>6</v>
      </c>
      <c r="CF20" s="266">
        <v>37</v>
      </c>
      <c r="CG20" s="266">
        <v>4</v>
      </c>
      <c r="CH20" s="266">
        <v>0</v>
      </c>
      <c r="CJ20" s="267">
        <f t="shared" si="2"/>
        <v>107898</v>
      </c>
    </row>
    <row r="21" spans="2:88" s="268" customFormat="1" ht="13.5">
      <c r="B21" s="269" t="s">
        <v>434</v>
      </c>
      <c r="C21" s="270">
        <f>SUM(C16:C20)</f>
        <v>21398</v>
      </c>
      <c r="D21" s="270">
        <f>SUM(D16:D20)</f>
        <v>8702</v>
      </c>
      <c r="E21" s="270">
        <f aca="true" t="shared" si="3" ref="E21:BO21">SUM(E16:E20)</f>
        <v>74</v>
      </c>
      <c r="F21" s="270">
        <f t="shared" si="3"/>
        <v>0</v>
      </c>
      <c r="G21" s="270">
        <f t="shared" si="3"/>
        <v>10</v>
      </c>
      <c r="H21" s="270">
        <f t="shared" si="3"/>
        <v>0</v>
      </c>
      <c r="I21" s="270">
        <f t="shared" si="3"/>
        <v>0</v>
      </c>
      <c r="J21" s="270">
        <f t="shared" si="3"/>
        <v>29650</v>
      </c>
      <c r="K21" s="270">
        <f t="shared" si="3"/>
        <v>12386</v>
      </c>
      <c r="L21" s="270">
        <f t="shared" si="3"/>
        <v>0</v>
      </c>
      <c r="M21" s="270">
        <f t="shared" si="3"/>
        <v>7731</v>
      </c>
      <c r="N21" s="270">
        <f t="shared" si="3"/>
        <v>0</v>
      </c>
      <c r="O21" s="270">
        <f t="shared" si="3"/>
        <v>0</v>
      </c>
      <c r="P21" s="270">
        <f t="shared" si="3"/>
        <v>0</v>
      </c>
      <c r="Q21" s="270">
        <f t="shared" si="3"/>
        <v>12652</v>
      </c>
      <c r="R21" s="270">
        <f t="shared" si="3"/>
        <v>395</v>
      </c>
      <c r="S21" s="270">
        <f t="shared" si="3"/>
        <v>2155</v>
      </c>
      <c r="T21" s="270">
        <f t="shared" si="3"/>
        <v>1698</v>
      </c>
      <c r="U21" s="270">
        <f t="shared" si="3"/>
        <v>0</v>
      </c>
      <c r="V21" s="270">
        <f t="shared" si="3"/>
        <v>440</v>
      </c>
      <c r="W21" s="270">
        <f t="shared" si="3"/>
        <v>259</v>
      </c>
      <c r="X21" s="270">
        <f t="shared" si="3"/>
        <v>1601</v>
      </c>
      <c r="Y21" s="270">
        <f t="shared" si="3"/>
        <v>90</v>
      </c>
      <c r="Z21" s="270">
        <f t="shared" si="3"/>
        <v>0</v>
      </c>
      <c r="AA21" s="270">
        <f t="shared" si="3"/>
        <v>121</v>
      </c>
      <c r="AB21" s="270">
        <f t="shared" si="3"/>
        <v>1168</v>
      </c>
      <c r="AC21" s="270">
        <f t="shared" si="3"/>
        <v>4</v>
      </c>
      <c r="AD21" s="270">
        <f t="shared" si="3"/>
        <v>0</v>
      </c>
      <c r="AE21" s="270">
        <f t="shared" si="3"/>
        <v>7447</v>
      </c>
      <c r="AF21" s="270">
        <f t="shared" si="3"/>
        <v>132</v>
      </c>
      <c r="AG21" s="270">
        <f t="shared" si="3"/>
        <v>1337</v>
      </c>
      <c r="AH21" s="270">
        <f t="shared" si="3"/>
        <v>3730</v>
      </c>
      <c r="AI21" s="270">
        <f t="shared" si="3"/>
        <v>4911</v>
      </c>
      <c r="AJ21" s="270">
        <f t="shared" si="3"/>
        <v>2386</v>
      </c>
      <c r="AK21" s="270">
        <f t="shared" si="3"/>
        <v>0</v>
      </c>
      <c r="AL21" s="270">
        <f t="shared" si="3"/>
        <v>2864</v>
      </c>
      <c r="AM21" s="270">
        <f t="shared" si="3"/>
        <v>1606</v>
      </c>
      <c r="AN21" s="270">
        <f t="shared" si="3"/>
        <v>4219</v>
      </c>
      <c r="AO21" s="270">
        <f t="shared" si="3"/>
        <v>2111</v>
      </c>
      <c r="AP21" s="270">
        <f t="shared" si="3"/>
        <v>2215</v>
      </c>
      <c r="AQ21" s="270">
        <f t="shared" si="3"/>
        <v>537</v>
      </c>
      <c r="AR21" s="270">
        <f t="shared" si="3"/>
        <v>2296</v>
      </c>
      <c r="AS21" s="270">
        <f t="shared" si="3"/>
        <v>2150</v>
      </c>
      <c r="AT21" s="270">
        <f t="shared" si="3"/>
        <v>825</v>
      </c>
      <c r="AU21" s="270">
        <f t="shared" si="3"/>
        <v>1653</v>
      </c>
      <c r="AV21" s="270">
        <f t="shared" si="3"/>
        <v>0</v>
      </c>
      <c r="AW21" s="270">
        <f t="shared" si="3"/>
        <v>0</v>
      </c>
      <c r="AX21" s="270">
        <f t="shared" si="3"/>
        <v>23</v>
      </c>
      <c r="AY21" s="270">
        <f t="shared" si="3"/>
        <v>11</v>
      </c>
      <c r="AZ21" s="270">
        <f t="shared" si="3"/>
        <v>1410</v>
      </c>
      <c r="BA21" s="270">
        <f t="shared" si="3"/>
        <v>1</v>
      </c>
      <c r="BB21" s="270">
        <f t="shared" si="3"/>
        <v>0</v>
      </c>
      <c r="BC21" s="270">
        <f t="shared" si="3"/>
        <v>0</v>
      </c>
      <c r="BD21" s="270">
        <f t="shared" si="3"/>
        <v>2049</v>
      </c>
      <c r="BE21" s="270">
        <f t="shared" si="3"/>
        <v>958</v>
      </c>
      <c r="BF21" s="270">
        <f>SUM(BF16:BF20)</f>
        <v>1</v>
      </c>
      <c r="BG21" s="270">
        <f t="shared" si="3"/>
        <v>1</v>
      </c>
      <c r="BH21" s="270">
        <f t="shared" si="3"/>
        <v>1</v>
      </c>
      <c r="BI21" s="270">
        <f t="shared" si="3"/>
        <v>2</v>
      </c>
      <c r="BJ21" s="270">
        <f>SUM(BJ16:BJ20)</f>
        <v>0</v>
      </c>
      <c r="BK21" s="270">
        <f t="shared" si="3"/>
        <v>225</v>
      </c>
      <c r="BL21" s="270">
        <f t="shared" si="3"/>
        <v>273</v>
      </c>
      <c r="BM21" s="270">
        <f t="shared" si="3"/>
        <v>76</v>
      </c>
      <c r="BN21" s="270">
        <f t="shared" si="3"/>
        <v>875</v>
      </c>
      <c r="BO21" s="270">
        <f t="shared" si="3"/>
        <v>0</v>
      </c>
      <c r="BP21" s="270">
        <f aca="true" t="shared" si="4" ref="BP21:CH21">SUM(BP16:BP20)</f>
        <v>224</v>
      </c>
      <c r="BQ21" s="270">
        <f t="shared" si="4"/>
        <v>104</v>
      </c>
      <c r="BR21" s="270">
        <f t="shared" si="4"/>
        <v>526</v>
      </c>
      <c r="BS21" s="270">
        <f t="shared" si="4"/>
        <v>100</v>
      </c>
      <c r="BT21" s="270">
        <f t="shared" si="4"/>
        <v>419</v>
      </c>
      <c r="BU21" s="270">
        <f t="shared" si="4"/>
        <v>314</v>
      </c>
      <c r="BV21" s="270">
        <f t="shared" si="4"/>
        <v>49</v>
      </c>
      <c r="BW21" s="270">
        <f t="shared" si="4"/>
        <v>184</v>
      </c>
      <c r="BX21" s="270">
        <f t="shared" si="4"/>
        <v>143</v>
      </c>
      <c r="BY21" s="270">
        <f t="shared" si="4"/>
        <v>56</v>
      </c>
      <c r="BZ21" s="270">
        <f t="shared" si="4"/>
        <v>203</v>
      </c>
      <c r="CA21" s="270">
        <f t="shared" si="4"/>
        <v>146</v>
      </c>
      <c r="CB21" s="270">
        <f t="shared" si="4"/>
        <v>19</v>
      </c>
      <c r="CC21" s="270">
        <f t="shared" si="4"/>
        <v>54</v>
      </c>
      <c r="CD21" s="270">
        <f t="shared" si="4"/>
        <v>62</v>
      </c>
      <c r="CE21" s="270">
        <f t="shared" si="4"/>
        <v>6</v>
      </c>
      <c r="CF21" s="270">
        <f t="shared" si="4"/>
        <v>37</v>
      </c>
      <c r="CG21" s="270">
        <f t="shared" si="4"/>
        <v>4</v>
      </c>
      <c r="CH21" s="270">
        <f t="shared" si="4"/>
        <v>0</v>
      </c>
      <c r="CI21" s="270"/>
      <c r="CJ21" s="267">
        <f t="shared" si="2"/>
        <v>149509</v>
      </c>
    </row>
    <row r="22" spans="2:88" s="264" customFormat="1" ht="12.75">
      <c r="B22" s="271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J22" s="267"/>
    </row>
    <row r="23" spans="1:88" s="264" customFormat="1" ht="12.75">
      <c r="A23" s="263" t="s">
        <v>322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J23" s="267"/>
    </row>
    <row r="24" spans="2:88" s="264" customFormat="1" ht="12.75">
      <c r="B24" s="265" t="s">
        <v>323</v>
      </c>
      <c r="C24" s="266">
        <v>30964</v>
      </c>
      <c r="D24" s="266">
        <v>13047</v>
      </c>
      <c r="E24" s="266">
        <v>0</v>
      </c>
      <c r="F24" s="266">
        <v>0</v>
      </c>
      <c r="G24" s="266">
        <v>1119</v>
      </c>
      <c r="H24" s="266">
        <v>338</v>
      </c>
      <c r="I24" s="266">
        <v>0</v>
      </c>
      <c r="J24" s="266">
        <v>43959</v>
      </c>
      <c r="K24" s="266">
        <v>22307</v>
      </c>
      <c r="L24" s="266">
        <v>160</v>
      </c>
      <c r="M24" s="266">
        <v>18476</v>
      </c>
      <c r="N24" s="266">
        <v>46</v>
      </c>
      <c r="O24" s="266">
        <v>1</v>
      </c>
      <c r="P24" s="266">
        <v>0</v>
      </c>
      <c r="Q24" s="266">
        <v>13329</v>
      </c>
      <c r="R24" s="266">
        <v>61</v>
      </c>
      <c r="S24" s="266">
        <v>10508</v>
      </c>
      <c r="T24" s="266">
        <v>7181</v>
      </c>
      <c r="U24" s="266">
        <v>37</v>
      </c>
      <c r="V24" s="266">
        <v>1896</v>
      </c>
      <c r="W24" s="266">
        <v>1898</v>
      </c>
      <c r="X24" s="266">
        <v>6380</v>
      </c>
      <c r="Y24" s="266">
        <v>226</v>
      </c>
      <c r="Z24" s="266">
        <v>0</v>
      </c>
      <c r="AA24" s="266">
        <v>1296</v>
      </c>
      <c r="AB24" s="266">
        <v>8475</v>
      </c>
      <c r="AC24" s="266">
        <v>137</v>
      </c>
      <c r="AD24" s="266">
        <v>0</v>
      </c>
      <c r="AE24" s="266">
        <v>5389</v>
      </c>
      <c r="AF24" s="266">
        <v>48</v>
      </c>
      <c r="AG24" s="266">
        <v>770</v>
      </c>
      <c r="AH24" s="266">
        <v>2862</v>
      </c>
      <c r="AI24" s="266">
        <v>5030</v>
      </c>
      <c r="AJ24" s="266">
        <v>5744</v>
      </c>
      <c r="AK24" s="266">
        <v>4.6</v>
      </c>
      <c r="AL24" s="266">
        <v>5358</v>
      </c>
      <c r="AM24" s="266">
        <v>6195</v>
      </c>
      <c r="AN24" s="266">
        <v>4001</v>
      </c>
      <c r="AO24" s="266">
        <v>4501</v>
      </c>
      <c r="AP24" s="266">
        <v>4619</v>
      </c>
      <c r="AQ24" s="266">
        <v>5061</v>
      </c>
      <c r="AR24" s="266">
        <v>3484</v>
      </c>
      <c r="AS24" s="266">
        <v>7</v>
      </c>
      <c r="AT24" s="266">
        <v>2242</v>
      </c>
      <c r="AU24" s="266">
        <v>2166</v>
      </c>
      <c r="AV24" s="266">
        <v>253</v>
      </c>
      <c r="AW24" s="266">
        <v>1143</v>
      </c>
      <c r="AX24" s="266">
        <v>1286</v>
      </c>
      <c r="AY24" s="266">
        <v>156</v>
      </c>
      <c r="AZ24" s="266">
        <v>1404</v>
      </c>
      <c r="BA24" s="266">
        <v>103</v>
      </c>
      <c r="BB24" s="266">
        <v>5</v>
      </c>
      <c r="BC24" s="266">
        <v>0</v>
      </c>
      <c r="BD24" s="266">
        <v>1219</v>
      </c>
      <c r="BE24" s="266">
        <v>2112</v>
      </c>
      <c r="BF24" s="266">
        <v>174</v>
      </c>
      <c r="BG24" s="266">
        <v>101</v>
      </c>
      <c r="BH24" s="266">
        <v>959</v>
      </c>
      <c r="BI24" s="266">
        <v>766</v>
      </c>
      <c r="BJ24" s="266">
        <v>0</v>
      </c>
      <c r="BK24" s="266">
        <v>0</v>
      </c>
      <c r="BL24" s="266">
        <v>588</v>
      </c>
      <c r="BM24" s="266">
        <v>0</v>
      </c>
      <c r="BN24" s="266">
        <v>132</v>
      </c>
      <c r="BO24" s="266">
        <v>1.7</v>
      </c>
      <c r="BP24" s="266">
        <v>664</v>
      </c>
      <c r="BQ24" s="266">
        <v>264</v>
      </c>
      <c r="BR24" s="266">
        <v>617</v>
      </c>
      <c r="BS24" s="266">
        <v>439</v>
      </c>
      <c r="BT24" s="266">
        <v>252</v>
      </c>
      <c r="BU24" s="266">
        <v>17</v>
      </c>
      <c r="BV24" s="266">
        <v>58</v>
      </c>
      <c r="BW24" s="266">
        <v>282</v>
      </c>
      <c r="BX24" s="266">
        <v>317</v>
      </c>
      <c r="BY24" s="266">
        <v>36</v>
      </c>
      <c r="BZ24" s="266">
        <v>4</v>
      </c>
      <c r="CA24" s="266">
        <v>145</v>
      </c>
      <c r="CB24" s="266">
        <v>42</v>
      </c>
      <c r="CC24" s="266">
        <v>0</v>
      </c>
      <c r="CD24" s="266">
        <v>0</v>
      </c>
      <c r="CE24" s="266">
        <v>10</v>
      </c>
      <c r="CF24" s="266">
        <v>0</v>
      </c>
      <c r="CG24" s="266">
        <v>0</v>
      </c>
      <c r="CH24" s="266">
        <v>0</v>
      </c>
      <c r="CJ24" s="267">
        <f t="shared" si="2"/>
        <v>252872.30000000002</v>
      </c>
    </row>
    <row r="25" spans="2:88" s="264" customFormat="1" ht="12.75">
      <c r="B25" s="265" t="s">
        <v>551</v>
      </c>
      <c r="C25" s="266">
        <v>75</v>
      </c>
      <c r="D25" s="266">
        <v>24</v>
      </c>
      <c r="E25" s="266">
        <v>0</v>
      </c>
      <c r="F25" s="266">
        <v>0</v>
      </c>
      <c r="G25" s="266">
        <v>0</v>
      </c>
      <c r="H25" s="266">
        <v>0</v>
      </c>
      <c r="I25" s="266">
        <v>0</v>
      </c>
      <c r="J25" s="266">
        <v>10</v>
      </c>
      <c r="K25" s="266">
        <v>268</v>
      </c>
      <c r="L25" s="266">
        <v>0</v>
      </c>
      <c r="M25" s="266">
        <v>113</v>
      </c>
      <c r="N25" s="266">
        <v>0</v>
      </c>
      <c r="O25" s="266">
        <v>0</v>
      </c>
      <c r="P25" s="266">
        <v>0</v>
      </c>
      <c r="Q25" s="266">
        <v>156</v>
      </c>
      <c r="R25" s="266">
        <v>0</v>
      </c>
      <c r="S25" s="266">
        <v>677</v>
      </c>
      <c r="T25" s="266">
        <v>1</v>
      </c>
      <c r="U25" s="266">
        <v>0</v>
      </c>
      <c r="V25" s="266">
        <v>0</v>
      </c>
      <c r="W25" s="266">
        <v>0</v>
      </c>
      <c r="X25" s="266">
        <v>0</v>
      </c>
      <c r="Y25" s="266">
        <v>0</v>
      </c>
      <c r="Z25" s="266">
        <v>0</v>
      </c>
      <c r="AA25" s="266">
        <v>7</v>
      </c>
      <c r="AB25" s="266">
        <v>119</v>
      </c>
      <c r="AC25" s="266">
        <v>0</v>
      </c>
      <c r="AD25" s="266">
        <v>0</v>
      </c>
      <c r="AE25" s="266">
        <v>53</v>
      </c>
      <c r="AF25" s="266">
        <v>0</v>
      </c>
      <c r="AG25" s="266">
        <v>1</v>
      </c>
      <c r="AH25" s="266">
        <v>2</v>
      </c>
      <c r="AI25" s="266">
        <v>482</v>
      </c>
      <c r="AJ25" s="266">
        <v>146</v>
      </c>
      <c r="AK25" s="266">
        <v>0</v>
      </c>
      <c r="AL25" s="266">
        <v>83</v>
      </c>
      <c r="AM25" s="266">
        <v>105</v>
      </c>
      <c r="AN25" s="266">
        <v>25</v>
      </c>
      <c r="AO25" s="266">
        <v>356</v>
      </c>
      <c r="AP25" s="266">
        <v>12</v>
      </c>
      <c r="AQ25" s="266">
        <v>85</v>
      </c>
      <c r="AR25" s="266">
        <v>47</v>
      </c>
      <c r="AS25" s="266">
        <v>28</v>
      </c>
      <c r="AT25" s="266">
        <v>24</v>
      </c>
      <c r="AU25" s="266">
        <v>3</v>
      </c>
      <c r="AV25" s="266">
        <v>0</v>
      </c>
      <c r="AW25" s="266">
        <v>0</v>
      </c>
      <c r="AX25" s="266">
        <v>0</v>
      </c>
      <c r="AY25" s="266">
        <v>0</v>
      </c>
      <c r="AZ25" s="266">
        <v>52</v>
      </c>
      <c r="BA25" s="266">
        <v>3</v>
      </c>
      <c r="BB25" s="266">
        <v>0</v>
      </c>
      <c r="BC25" s="266">
        <v>0</v>
      </c>
      <c r="BD25" s="266">
        <v>0</v>
      </c>
      <c r="BE25" s="266">
        <v>84</v>
      </c>
      <c r="BF25" s="266">
        <v>0</v>
      </c>
      <c r="BG25" s="266">
        <v>0</v>
      </c>
      <c r="BH25" s="266">
        <v>1</v>
      </c>
      <c r="BI25" s="266">
        <v>1</v>
      </c>
      <c r="BJ25" s="266">
        <v>0</v>
      </c>
      <c r="BK25" s="266">
        <v>0</v>
      </c>
      <c r="BL25" s="266">
        <v>0</v>
      </c>
      <c r="BM25" s="266">
        <v>0</v>
      </c>
      <c r="BN25" s="266">
        <v>8</v>
      </c>
      <c r="BO25" s="266">
        <v>0</v>
      </c>
      <c r="BP25" s="266">
        <v>24</v>
      </c>
      <c r="BQ25" s="266">
        <v>1</v>
      </c>
      <c r="BR25" s="266">
        <v>6</v>
      </c>
      <c r="BS25" s="266">
        <v>2</v>
      </c>
      <c r="BT25" s="266">
        <v>0</v>
      </c>
      <c r="BU25" s="266">
        <v>13</v>
      </c>
      <c r="BV25" s="266">
        <v>1</v>
      </c>
      <c r="BW25" s="266">
        <v>0</v>
      </c>
      <c r="BX25" s="266">
        <v>1</v>
      </c>
      <c r="BY25" s="266">
        <v>1</v>
      </c>
      <c r="BZ25" s="266">
        <v>11</v>
      </c>
      <c r="CA25" s="266">
        <v>1</v>
      </c>
      <c r="CB25" s="266">
        <v>0</v>
      </c>
      <c r="CC25" s="266">
        <v>0</v>
      </c>
      <c r="CD25" s="266">
        <v>0</v>
      </c>
      <c r="CE25" s="266">
        <v>2</v>
      </c>
      <c r="CF25" s="266">
        <v>0</v>
      </c>
      <c r="CG25" s="266">
        <v>10</v>
      </c>
      <c r="CH25" s="266">
        <v>0</v>
      </c>
      <c r="CJ25" s="267">
        <f t="shared" si="2"/>
        <v>3124</v>
      </c>
    </row>
    <row r="26" spans="2:88" s="268" customFormat="1" ht="13.5">
      <c r="B26" s="269" t="s">
        <v>434</v>
      </c>
      <c r="C26" s="270">
        <f>SUM(C24:C25)</f>
        <v>31039</v>
      </c>
      <c r="D26" s="270">
        <f>SUM(D24:D25)</f>
        <v>13071</v>
      </c>
      <c r="E26" s="270">
        <f aca="true" t="shared" si="5" ref="E26:BP26">SUM(E24:E25)</f>
        <v>0</v>
      </c>
      <c r="F26" s="270">
        <f t="shared" si="5"/>
        <v>0</v>
      </c>
      <c r="G26" s="270">
        <f t="shared" si="5"/>
        <v>1119</v>
      </c>
      <c r="H26" s="270">
        <f t="shared" si="5"/>
        <v>338</v>
      </c>
      <c r="I26" s="270">
        <f t="shared" si="5"/>
        <v>0</v>
      </c>
      <c r="J26" s="270">
        <f t="shared" si="5"/>
        <v>43969</v>
      </c>
      <c r="K26" s="270">
        <f t="shared" si="5"/>
        <v>22575</v>
      </c>
      <c r="L26" s="270">
        <f t="shared" si="5"/>
        <v>160</v>
      </c>
      <c r="M26" s="270">
        <f t="shared" si="5"/>
        <v>18589</v>
      </c>
      <c r="N26" s="270">
        <f t="shared" si="5"/>
        <v>46</v>
      </c>
      <c r="O26" s="270">
        <f t="shared" si="5"/>
        <v>1</v>
      </c>
      <c r="P26" s="270">
        <f t="shared" si="5"/>
        <v>0</v>
      </c>
      <c r="Q26" s="270">
        <f t="shared" si="5"/>
        <v>13485</v>
      </c>
      <c r="R26" s="270">
        <f t="shared" si="5"/>
        <v>61</v>
      </c>
      <c r="S26" s="270">
        <f t="shared" si="5"/>
        <v>11185</v>
      </c>
      <c r="T26" s="270">
        <f t="shared" si="5"/>
        <v>7182</v>
      </c>
      <c r="U26" s="270">
        <f t="shared" si="5"/>
        <v>37</v>
      </c>
      <c r="V26" s="270">
        <f t="shared" si="5"/>
        <v>1896</v>
      </c>
      <c r="W26" s="270">
        <f t="shared" si="5"/>
        <v>1898</v>
      </c>
      <c r="X26" s="270">
        <f t="shared" si="5"/>
        <v>6380</v>
      </c>
      <c r="Y26" s="270">
        <f t="shared" si="5"/>
        <v>226</v>
      </c>
      <c r="Z26" s="270">
        <f t="shared" si="5"/>
        <v>0</v>
      </c>
      <c r="AA26" s="270">
        <f t="shared" si="5"/>
        <v>1303</v>
      </c>
      <c r="AB26" s="270">
        <f t="shared" si="5"/>
        <v>8594</v>
      </c>
      <c r="AC26" s="270">
        <f t="shared" si="5"/>
        <v>137</v>
      </c>
      <c r="AD26" s="270">
        <f t="shared" si="5"/>
        <v>0</v>
      </c>
      <c r="AE26" s="270">
        <f t="shared" si="5"/>
        <v>5442</v>
      </c>
      <c r="AF26" s="270">
        <f t="shared" si="5"/>
        <v>48</v>
      </c>
      <c r="AG26" s="270">
        <f t="shared" si="5"/>
        <v>771</v>
      </c>
      <c r="AH26" s="270">
        <f t="shared" si="5"/>
        <v>2864</v>
      </c>
      <c r="AI26" s="270">
        <f t="shared" si="5"/>
        <v>5512</v>
      </c>
      <c r="AJ26" s="270">
        <f t="shared" si="5"/>
        <v>5890</v>
      </c>
      <c r="AK26" s="270">
        <f t="shared" si="5"/>
        <v>4.6</v>
      </c>
      <c r="AL26" s="270">
        <f t="shared" si="5"/>
        <v>5441</v>
      </c>
      <c r="AM26" s="270">
        <f t="shared" si="5"/>
        <v>6300</v>
      </c>
      <c r="AN26" s="270">
        <f t="shared" si="5"/>
        <v>4026</v>
      </c>
      <c r="AO26" s="270">
        <f t="shared" si="5"/>
        <v>4857</v>
      </c>
      <c r="AP26" s="270">
        <f t="shared" si="5"/>
        <v>4631</v>
      </c>
      <c r="AQ26" s="270">
        <f t="shared" si="5"/>
        <v>5146</v>
      </c>
      <c r="AR26" s="270">
        <f t="shared" si="5"/>
        <v>3531</v>
      </c>
      <c r="AS26" s="270">
        <f t="shared" si="5"/>
        <v>35</v>
      </c>
      <c r="AT26" s="270">
        <f t="shared" si="5"/>
        <v>2266</v>
      </c>
      <c r="AU26" s="270">
        <f t="shared" si="5"/>
        <v>2169</v>
      </c>
      <c r="AV26" s="270">
        <f t="shared" si="5"/>
        <v>253</v>
      </c>
      <c r="AW26" s="270">
        <f t="shared" si="5"/>
        <v>1143</v>
      </c>
      <c r="AX26" s="270">
        <f t="shared" si="5"/>
        <v>1286</v>
      </c>
      <c r="AY26" s="270">
        <f t="shared" si="5"/>
        <v>156</v>
      </c>
      <c r="AZ26" s="270">
        <f t="shared" si="5"/>
        <v>1456</v>
      </c>
      <c r="BA26" s="270">
        <f t="shared" si="5"/>
        <v>106</v>
      </c>
      <c r="BB26" s="270">
        <f t="shared" si="5"/>
        <v>5</v>
      </c>
      <c r="BC26" s="270">
        <f t="shared" si="5"/>
        <v>0</v>
      </c>
      <c r="BD26" s="270">
        <f t="shared" si="5"/>
        <v>1219</v>
      </c>
      <c r="BE26" s="270">
        <f t="shared" si="5"/>
        <v>2196</v>
      </c>
      <c r="BF26" s="270">
        <f>SUM(BF24:BF25)</f>
        <v>174</v>
      </c>
      <c r="BG26" s="270">
        <f t="shared" si="5"/>
        <v>101</v>
      </c>
      <c r="BH26" s="270">
        <f t="shared" si="5"/>
        <v>960</v>
      </c>
      <c r="BI26" s="270">
        <f t="shared" si="5"/>
        <v>767</v>
      </c>
      <c r="BJ26" s="270">
        <f>SUM(BJ24:BJ25)</f>
        <v>0</v>
      </c>
      <c r="BK26" s="270">
        <f t="shared" si="5"/>
        <v>0</v>
      </c>
      <c r="BL26" s="270">
        <f t="shared" si="5"/>
        <v>588</v>
      </c>
      <c r="BM26" s="270">
        <f t="shared" si="5"/>
        <v>0</v>
      </c>
      <c r="BN26" s="270">
        <f t="shared" si="5"/>
        <v>140</v>
      </c>
      <c r="BO26" s="270">
        <f t="shared" si="5"/>
        <v>1.7</v>
      </c>
      <c r="BP26" s="270">
        <f t="shared" si="5"/>
        <v>688</v>
      </c>
      <c r="BQ26" s="270">
        <f aca="true" t="shared" si="6" ref="BQ26:CH26">SUM(BQ24:BQ25)</f>
        <v>265</v>
      </c>
      <c r="BR26" s="270">
        <f t="shared" si="6"/>
        <v>623</v>
      </c>
      <c r="BS26" s="270">
        <f t="shared" si="6"/>
        <v>441</v>
      </c>
      <c r="BT26" s="270">
        <f t="shared" si="6"/>
        <v>252</v>
      </c>
      <c r="BU26" s="270">
        <f t="shared" si="6"/>
        <v>30</v>
      </c>
      <c r="BV26" s="270">
        <f t="shared" si="6"/>
        <v>59</v>
      </c>
      <c r="BW26" s="270">
        <f t="shared" si="6"/>
        <v>282</v>
      </c>
      <c r="BX26" s="270">
        <f t="shared" si="6"/>
        <v>318</v>
      </c>
      <c r="BY26" s="270">
        <f t="shared" si="6"/>
        <v>37</v>
      </c>
      <c r="BZ26" s="270">
        <f t="shared" si="6"/>
        <v>15</v>
      </c>
      <c r="CA26" s="270">
        <f t="shared" si="6"/>
        <v>146</v>
      </c>
      <c r="CB26" s="270">
        <f t="shared" si="6"/>
        <v>42</v>
      </c>
      <c r="CC26" s="270">
        <f t="shared" si="6"/>
        <v>0</v>
      </c>
      <c r="CD26" s="270">
        <f t="shared" si="6"/>
        <v>0</v>
      </c>
      <c r="CE26" s="270">
        <f t="shared" si="6"/>
        <v>12</v>
      </c>
      <c r="CF26" s="270">
        <f t="shared" si="6"/>
        <v>0</v>
      </c>
      <c r="CG26" s="270">
        <f t="shared" si="6"/>
        <v>10</v>
      </c>
      <c r="CH26" s="270">
        <f t="shared" si="6"/>
        <v>0</v>
      </c>
      <c r="CI26" s="270"/>
      <c r="CJ26" s="267">
        <f t="shared" si="2"/>
        <v>255996.30000000002</v>
      </c>
    </row>
    <row r="27" spans="1:88" s="268" customFormat="1" ht="13.5">
      <c r="A27" s="268" t="s">
        <v>528</v>
      </c>
      <c r="B27" s="269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67"/>
    </row>
    <row r="28" spans="2:88" s="272" customFormat="1" ht="12.75">
      <c r="B28" s="265" t="s">
        <v>527</v>
      </c>
      <c r="C28" s="266">
        <v>0</v>
      </c>
      <c r="D28" s="266">
        <v>411</v>
      </c>
      <c r="E28" s="266">
        <v>155</v>
      </c>
      <c r="F28" s="266">
        <v>39</v>
      </c>
      <c r="G28" s="266">
        <v>22</v>
      </c>
      <c r="H28" s="266">
        <v>16</v>
      </c>
      <c r="I28" s="266">
        <v>190</v>
      </c>
      <c r="J28" s="266">
        <v>2914</v>
      </c>
      <c r="K28" s="266">
        <v>724</v>
      </c>
      <c r="L28" s="266">
        <v>2</v>
      </c>
      <c r="M28" s="266">
        <v>1381</v>
      </c>
      <c r="N28" s="266">
        <v>6</v>
      </c>
      <c r="O28" s="266">
        <v>1</v>
      </c>
      <c r="P28" s="266">
        <v>15</v>
      </c>
      <c r="Q28" s="266">
        <v>448</v>
      </c>
      <c r="R28" s="266">
        <v>33</v>
      </c>
      <c r="S28" s="266">
        <v>1766</v>
      </c>
      <c r="T28" s="266">
        <v>426</v>
      </c>
      <c r="U28" s="266">
        <v>7</v>
      </c>
      <c r="V28" s="266">
        <v>-29</v>
      </c>
      <c r="W28" s="266">
        <v>18</v>
      </c>
      <c r="X28" s="266">
        <v>-143</v>
      </c>
      <c r="Y28" s="266">
        <v>-32</v>
      </c>
      <c r="Z28" s="266">
        <v>638</v>
      </c>
      <c r="AA28" s="266">
        <v>70</v>
      </c>
      <c r="AB28" s="266">
        <v>253</v>
      </c>
      <c r="AC28" s="266">
        <v>13</v>
      </c>
      <c r="AD28" s="266">
        <v>2883</v>
      </c>
      <c r="AE28" s="266">
        <v>151</v>
      </c>
      <c r="AF28" s="266">
        <v>36</v>
      </c>
      <c r="AG28" s="266">
        <v>179</v>
      </c>
      <c r="AH28" s="266">
        <v>136</v>
      </c>
      <c r="AI28" s="266">
        <v>368</v>
      </c>
      <c r="AJ28" s="266">
        <v>645</v>
      </c>
      <c r="AK28" s="266">
        <v>2</v>
      </c>
      <c r="AL28" s="266">
        <v>-17</v>
      </c>
      <c r="AM28" s="266">
        <v>100</v>
      </c>
      <c r="AN28" s="266">
        <v>1810</v>
      </c>
      <c r="AO28" s="266">
        <v>562</v>
      </c>
      <c r="AP28" s="266">
        <v>0</v>
      </c>
      <c r="AQ28" s="266">
        <v>1120</v>
      </c>
      <c r="AR28" s="266">
        <v>163</v>
      </c>
      <c r="AS28" s="266">
        <v>71</v>
      </c>
      <c r="AT28" s="266">
        <v>322</v>
      </c>
      <c r="AU28" s="266">
        <v>87</v>
      </c>
      <c r="AV28" s="266">
        <v>7</v>
      </c>
      <c r="AW28" s="266">
        <v>42</v>
      </c>
      <c r="AX28" s="266">
        <v>35</v>
      </c>
      <c r="AY28" s="266">
        <v>9</v>
      </c>
      <c r="AZ28" s="266">
        <v>383</v>
      </c>
      <c r="BA28" s="266">
        <v>9</v>
      </c>
      <c r="BB28" s="266">
        <v>3</v>
      </c>
      <c r="BC28" s="266">
        <v>24</v>
      </c>
      <c r="BD28" s="266">
        <v>185</v>
      </c>
      <c r="BE28" s="266">
        <v>215</v>
      </c>
      <c r="BF28" s="266">
        <v>355</v>
      </c>
      <c r="BG28" s="266">
        <v>8</v>
      </c>
      <c r="BH28" s="266">
        <v>7</v>
      </c>
      <c r="BI28" s="266">
        <v>39</v>
      </c>
      <c r="BJ28" s="266">
        <v>28</v>
      </c>
      <c r="BK28" s="266">
        <v>-55</v>
      </c>
      <c r="BL28" s="266">
        <v>-14</v>
      </c>
      <c r="BM28" s="266">
        <v>-1</v>
      </c>
      <c r="BN28" s="266">
        <v>1207</v>
      </c>
      <c r="BO28" s="266">
        <v>2</v>
      </c>
      <c r="BP28" s="266">
        <v>629</v>
      </c>
      <c r="BQ28" s="266">
        <v>9</v>
      </c>
      <c r="BR28" s="266">
        <v>28</v>
      </c>
      <c r="BS28" s="266">
        <v>23</v>
      </c>
      <c r="BT28" s="266">
        <v>79</v>
      </c>
      <c r="BU28" s="266">
        <v>438</v>
      </c>
      <c r="BV28" s="266">
        <v>131</v>
      </c>
      <c r="BW28" s="266">
        <v>17</v>
      </c>
      <c r="BX28" s="266">
        <v>11</v>
      </c>
      <c r="BY28" s="266">
        <v>4</v>
      </c>
      <c r="BZ28" s="266">
        <v>292</v>
      </c>
      <c r="CA28" s="266">
        <v>78</v>
      </c>
      <c r="CB28" s="266">
        <v>1</v>
      </c>
      <c r="CC28" s="266">
        <v>42</v>
      </c>
      <c r="CD28" s="266">
        <v>45</v>
      </c>
      <c r="CE28" s="266">
        <v>35</v>
      </c>
      <c r="CF28" s="266">
        <v>0</v>
      </c>
      <c r="CG28" s="266">
        <v>43</v>
      </c>
      <c r="CH28" s="266">
        <v>0</v>
      </c>
      <c r="CJ28" s="267">
        <f t="shared" si="2"/>
        <v>22355</v>
      </c>
    </row>
    <row r="29" spans="2:88" s="264" customFormat="1" ht="12.75">
      <c r="B29" s="271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J29" s="267"/>
    </row>
    <row r="30" spans="2:88" s="268" customFormat="1" ht="13.5">
      <c r="B30" s="269" t="s">
        <v>514</v>
      </c>
      <c r="C30" s="270">
        <f>+SUM(C13+C21+C26+C28)</f>
        <v>107896</v>
      </c>
      <c r="D30" s="270">
        <f>+SUM(D13+D21+D26+D28)</f>
        <v>34992</v>
      </c>
      <c r="E30" s="270">
        <f aca="true" t="shared" si="7" ref="E30:BO30">+SUM(E13+E21+E26+E28)</f>
        <v>229</v>
      </c>
      <c r="F30" s="270">
        <f t="shared" si="7"/>
        <v>39</v>
      </c>
      <c r="G30" s="270">
        <f t="shared" si="7"/>
        <v>1653</v>
      </c>
      <c r="H30" s="270">
        <f t="shared" si="7"/>
        <v>405</v>
      </c>
      <c r="I30" s="270">
        <f t="shared" si="7"/>
        <v>190</v>
      </c>
      <c r="J30" s="270">
        <f t="shared" si="7"/>
        <v>122112</v>
      </c>
      <c r="K30" s="270">
        <f t="shared" si="7"/>
        <v>62265</v>
      </c>
      <c r="L30" s="270">
        <f t="shared" si="7"/>
        <v>617</v>
      </c>
      <c r="M30" s="270">
        <f t="shared" si="7"/>
        <v>55674</v>
      </c>
      <c r="N30" s="270">
        <f t="shared" si="7"/>
        <v>107</v>
      </c>
      <c r="O30" s="270">
        <f t="shared" si="7"/>
        <v>7</v>
      </c>
      <c r="P30" s="270">
        <f t="shared" si="7"/>
        <v>15</v>
      </c>
      <c r="Q30" s="270">
        <f t="shared" si="7"/>
        <v>50812</v>
      </c>
      <c r="R30" s="270">
        <f t="shared" si="7"/>
        <v>1038</v>
      </c>
      <c r="S30" s="270">
        <f t="shared" si="7"/>
        <v>32622</v>
      </c>
      <c r="T30" s="270">
        <f t="shared" si="7"/>
        <v>27927</v>
      </c>
      <c r="U30" s="270">
        <f t="shared" si="7"/>
        <v>130</v>
      </c>
      <c r="V30" s="270">
        <f t="shared" si="7"/>
        <v>4800</v>
      </c>
      <c r="W30" s="270">
        <f t="shared" si="7"/>
        <v>3906</v>
      </c>
      <c r="X30" s="270">
        <f t="shared" si="7"/>
        <v>15540</v>
      </c>
      <c r="Y30" s="270">
        <f t="shared" si="7"/>
        <v>1154</v>
      </c>
      <c r="Z30" s="270">
        <f t="shared" si="7"/>
        <v>638</v>
      </c>
      <c r="AA30" s="270">
        <f t="shared" si="7"/>
        <v>3061</v>
      </c>
      <c r="AB30" s="270">
        <f t="shared" si="7"/>
        <v>18860</v>
      </c>
      <c r="AC30" s="270">
        <f t="shared" si="7"/>
        <v>853</v>
      </c>
      <c r="AD30" s="270">
        <f t="shared" si="7"/>
        <v>2883</v>
      </c>
      <c r="AE30" s="270">
        <f t="shared" si="7"/>
        <v>22152</v>
      </c>
      <c r="AF30" s="270">
        <f t="shared" si="7"/>
        <v>357</v>
      </c>
      <c r="AG30" s="270">
        <f t="shared" si="7"/>
        <v>4554</v>
      </c>
      <c r="AH30" s="270">
        <f t="shared" si="7"/>
        <v>17689</v>
      </c>
      <c r="AI30" s="270">
        <f t="shared" si="7"/>
        <v>20047</v>
      </c>
      <c r="AJ30" s="270">
        <f t="shared" si="7"/>
        <v>15438</v>
      </c>
      <c r="AK30" s="270">
        <f t="shared" si="7"/>
        <v>29.9</v>
      </c>
      <c r="AL30" s="270">
        <f t="shared" si="7"/>
        <v>15546</v>
      </c>
      <c r="AM30" s="270">
        <f t="shared" si="7"/>
        <v>14654</v>
      </c>
      <c r="AN30" s="270">
        <f t="shared" si="7"/>
        <v>14606</v>
      </c>
      <c r="AO30" s="270">
        <f t="shared" si="7"/>
        <v>13526</v>
      </c>
      <c r="AP30" s="270">
        <f t="shared" si="7"/>
        <v>12781</v>
      </c>
      <c r="AQ30" s="270">
        <f t="shared" si="7"/>
        <v>12812</v>
      </c>
      <c r="AR30" s="270">
        <f t="shared" si="7"/>
        <v>12643</v>
      </c>
      <c r="AS30" s="270">
        <f t="shared" si="7"/>
        <v>3569</v>
      </c>
      <c r="AT30" s="270">
        <f t="shared" si="7"/>
        <v>9466</v>
      </c>
      <c r="AU30" s="270">
        <f t="shared" si="7"/>
        <v>8997</v>
      </c>
      <c r="AV30" s="270">
        <f t="shared" si="7"/>
        <v>726</v>
      </c>
      <c r="AW30" s="270">
        <f t="shared" si="7"/>
        <v>2380</v>
      </c>
      <c r="AX30" s="270">
        <f t="shared" si="7"/>
        <v>3609</v>
      </c>
      <c r="AY30" s="270">
        <f t="shared" si="7"/>
        <v>1011</v>
      </c>
      <c r="AZ30" s="270">
        <f t="shared" si="7"/>
        <v>7074</v>
      </c>
      <c r="BA30" s="270">
        <f t="shared" si="7"/>
        <v>222</v>
      </c>
      <c r="BB30" s="270">
        <f t="shared" si="7"/>
        <v>37</v>
      </c>
      <c r="BC30" s="270">
        <f t="shared" si="7"/>
        <v>24</v>
      </c>
      <c r="BD30" s="270">
        <f t="shared" si="7"/>
        <v>7454</v>
      </c>
      <c r="BE30" s="270">
        <f t="shared" si="7"/>
        <v>6303</v>
      </c>
      <c r="BF30" s="270">
        <f>+SUM(BF13+BF21+BF26+BF28)</f>
        <v>817</v>
      </c>
      <c r="BG30" s="270">
        <f t="shared" si="7"/>
        <v>478</v>
      </c>
      <c r="BH30" s="270">
        <f t="shared" si="7"/>
        <v>2557</v>
      </c>
      <c r="BI30" s="270">
        <f t="shared" si="7"/>
        <v>1612</v>
      </c>
      <c r="BJ30" s="270">
        <f t="shared" si="7"/>
        <v>28</v>
      </c>
      <c r="BK30" s="270">
        <f t="shared" si="7"/>
        <v>3246</v>
      </c>
      <c r="BL30" s="270">
        <f t="shared" si="7"/>
        <v>2539</v>
      </c>
      <c r="BM30" s="270">
        <f t="shared" si="7"/>
        <v>191</v>
      </c>
      <c r="BN30" s="270">
        <f t="shared" si="7"/>
        <v>2632</v>
      </c>
      <c r="BO30" s="270">
        <f t="shared" si="7"/>
        <v>8.4</v>
      </c>
      <c r="BP30" s="270">
        <f aca="true" t="shared" si="8" ref="BP30:CH30">+SUM(BP13+BP21+BP26+BP28)</f>
        <v>2257</v>
      </c>
      <c r="BQ30" s="270">
        <f t="shared" si="8"/>
        <v>2256</v>
      </c>
      <c r="BR30" s="270">
        <f t="shared" si="8"/>
        <v>1612</v>
      </c>
      <c r="BS30" s="270">
        <f t="shared" si="8"/>
        <v>1591</v>
      </c>
      <c r="BT30" s="270">
        <f t="shared" si="8"/>
        <v>1465</v>
      </c>
      <c r="BU30" s="270">
        <f t="shared" si="8"/>
        <v>1413</v>
      </c>
      <c r="BV30" s="270">
        <f t="shared" si="8"/>
        <v>1363</v>
      </c>
      <c r="BW30" s="270">
        <f t="shared" si="8"/>
        <v>1193</v>
      </c>
      <c r="BX30" s="270">
        <f t="shared" si="8"/>
        <v>882</v>
      </c>
      <c r="BY30" s="270">
        <f t="shared" si="8"/>
        <v>666</v>
      </c>
      <c r="BZ30" s="270">
        <f t="shared" si="8"/>
        <v>606</v>
      </c>
      <c r="CA30" s="270">
        <f t="shared" si="8"/>
        <v>553</v>
      </c>
      <c r="CB30" s="270">
        <f t="shared" si="8"/>
        <v>482</v>
      </c>
      <c r="CC30" s="270">
        <f t="shared" si="8"/>
        <v>452</v>
      </c>
      <c r="CD30" s="270">
        <f t="shared" si="8"/>
        <v>357</v>
      </c>
      <c r="CE30" s="270">
        <f t="shared" si="8"/>
        <v>193</v>
      </c>
      <c r="CF30" s="270">
        <f t="shared" si="8"/>
        <v>54</v>
      </c>
      <c r="CG30" s="270">
        <f t="shared" si="8"/>
        <v>59</v>
      </c>
      <c r="CH30" s="270">
        <f t="shared" si="8"/>
        <v>8</v>
      </c>
      <c r="CI30" s="270"/>
      <c r="CJ30" s="267">
        <f t="shared" si="2"/>
        <v>809702.3</v>
      </c>
    </row>
    <row r="31" spans="2:88" s="268" customFormat="1" ht="13.5" hidden="1"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67">
        <f t="shared" si="2"/>
        <v>0</v>
      </c>
    </row>
    <row r="32" ht="12.75" hidden="1"/>
    <row r="33" spans="2:92" s="264" customFormat="1" ht="21" customHeight="1">
      <c r="B33" s="271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J33" s="267"/>
      <c r="CK33" s="262"/>
      <c r="CL33" s="267"/>
      <c r="CM33" s="267"/>
      <c r="CN33" s="267"/>
    </row>
    <row r="34" spans="2:92" s="264" customFormat="1" ht="21" customHeight="1">
      <c r="B34" s="271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J34" s="267"/>
      <c r="CK34" s="262"/>
      <c r="CL34" s="262"/>
      <c r="CM34" s="251"/>
      <c r="CN34" s="267"/>
    </row>
    <row r="35" spans="2:90" s="264" customFormat="1" ht="12.75">
      <c r="B35" s="273" t="s">
        <v>524</v>
      </c>
      <c r="C35" s="266">
        <v>18028</v>
      </c>
      <c r="D35" s="266">
        <v>7348</v>
      </c>
      <c r="E35" s="266">
        <v>0</v>
      </c>
      <c r="F35" s="266">
        <v>0</v>
      </c>
      <c r="G35" s="266">
        <v>555</v>
      </c>
      <c r="H35" s="266">
        <v>68</v>
      </c>
      <c r="I35" s="266">
        <v>0</v>
      </c>
      <c r="J35" s="266">
        <v>28317</v>
      </c>
      <c r="K35" s="266">
        <v>10521</v>
      </c>
      <c r="L35" s="266">
        <v>54</v>
      </c>
      <c r="M35" s="266">
        <v>9592</v>
      </c>
      <c r="N35" s="266">
        <v>35</v>
      </c>
      <c r="O35" s="266">
        <v>1</v>
      </c>
      <c r="P35" s="266">
        <v>0</v>
      </c>
      <c r="Q35" s="266">
        <v>13160</v>
      </c>
      <c r="R35" s="266">
        <v>62</v>
      </c>
      <c r="S35" s="266">
        <v>6143</v>
      </c>
      <c r="T35" s="266">
        <v>4149</v>
      </c>
      <c r="U35" s="266">
        <v>23</v>
      </c>
      <c r="V35" s="266">
        <v>1461</v>
      </c>
      <c r="W35" s="266">
        <v>1554</v>
      </c>
      <c r="X35" s="266">
        <v>4796</v>
      </c>
      <c r="Y35" s="266">
        <v>175</v>
      </c>
      <c r="Z35" s="266">
        <v>0</v>
      </c>
      <c r="AA35" s="266">
        <v>1008</v>
      </c>
      <c r="AB35" s="266">
        <v>6792</v>
      </c>
      <c r="AC35" s="266">
        <v>95</v>
      </c>
      <c r="AD35" s="266">
        <v>0</v>
      </c>
      <c r="AE35" s="266">
        <v>3506</v>
      </c>
      <c r="AF35" s="266">
        <v>49</v>
      </c>
      <c r="AG35" s="266">
        <v>370</v>
      </c>
      <c r="AH35" s="266">
        <v>1741</v>
      </c>
      <c r="AI35" s="266">
        <v>627</v>
      </c>
      <c r="AJ35" s="266">
        <v>4327</v>
      </c>
      <c r="AK35" s="266">
        <v>3.24</v>
      </c>
      <c r="AL35" s="266">
        <v>3161</v>
      </c>
      <c r="AM35" s="266">
        <v>3249</v>
      </c>
      <c r="AN35" s="266">
        <v>3549</v>
      </c>
      <c r="AO35" s="266">
        <v>3787</v>
      </c>
      <c r="AP35" s="266">
        <v>2097</v>
      </c>
      <c r="AQ35" s="266">
        <v>2497</v>
      </c>
      <c r="AR35" s="266">
        <v>2219</v>
      </c>
      <c r="AS35" s="266">
        <v>19</v>
      </c>
      <c r="AT35" s="266">
        <v>1231</v>
      </c>
      <c r="AU35" s="266">
        <v>1091</v>
      </c>
      <c r="AV35" s="266">
        <v>183</v>
      </c>
      <c r="AW35" s="266">
        <v>2021</v>
      </c>
      <c r="AX35" s="266">
        <v>903</v>
      </c>
      <c r="AY35" s="266">
        <v>103</v>
      </c>
      <c r="AZ35" s="266">
        <v>1096</v>
      </c>
      <c r="BA35" s="266">
        <v>59</v>
      </c>
      <c r="BB35" s="266">
        <v>3</v>
      </c>
      <c r="BC35" s="266">
        <v>0</v>
      </c>
      <c r="BD35" s="266">
        <v>67</v>
      </c>
      <c r="BE35" s="266">
        <v>1907</v>
      </c>
      <c r="BF35" s="266">
        <v>127</v>
      </c>
      <c r="BG35" s="266">
        <v>76</v>
      </c>
      <c r="BH35" s="266">
        <v>703</v>
      </c>
      <c r="BI35" s="266">
        <v>611</v>
      </c>
      <c r="BJ35" s="266">
        <v>0</v>
      </c>
      <c r="BK35" s="266">
        <v>0</v>
      </c>
      <c r="BL35" s="266">
        <v>130</v>
      </c>
      <c r="BM35" s="266">
        <v>0</v>
      </c>
      <c r="BN35" s="266">
        <v>155</v>
      </c>
      <c r="BO35" s="266">
        <v>1</v>
      </c>
      <c r="BP35" s="266">
        <v>532</v>
      </c>
      <c r="BQ35" s="266">
        <v>83</v>
      </c>
      <c r="BR35" s="266">
        <v>535</v>
      </c>
      <c r="BS35" s="266">
        <v>147</v>
      </c>
      <c r="BT35" s="266">
        <v>255</v>
      </c>
      <c r="BU35" s="266">
        <v>28</v>
      </c>
      <c r="BV35" s="266">
        <v>121</v>
      </c>
      <c r="BW35" s="266">
        <v>190</v>
      </c>
      <c r="BX35" s="266">
        <v>135</v>
      </c>
      <c r="BY35" s="266">
        <v>15</v>
      </c>
      <c r="BZ35" s="266">
        <v>14</v>
      </c>
      <c r="CA35" s="266">
        <v>115</v>
      </c>
      <c r="CB35" s="266">
        <v>29</v>
      </c>
      <c r="CC35" s="266">
        <v>0</v>
      </c>
      <c r="CD35" s="266">
        <v>0</v>
      </c>
      <c r="CE35" s="266">
        <v>0</v>
      </c>
      <c r="CF35" s="266">
        <v>0</v>
      </c>
      <c r="CG35" s="266">
        <v>0</v>
      </c>
      <c r="CH35" s="266">
        <v>0</v>
      </c>
      <c r="CJ35" s="267">
        <f t="shared" si="2"/>
        <v>157804.24</v>
      </c>
      <c r="CL35" s="267"/>
    </row>
    <row r="36" spans="2:88" s="264" customFormat="1" ht="12.75">
      <c r="B36" s="273" t="s">
        <v>538</v>
      </c>
      <c r="C36" s="266">
        <f>+SUM(C16:C19)+C25</f>
        <v>3090</v>
      </c>
      <c r="D36" s="266">
        <f>+SUM(D16:D19)+D25</f>
        <v>1197</v>
      </c>
      <c r="E36" s="266">
        <f aca="true" t="shared" si="9" ref="E36:BO36">+SUM(E16:E19)+E25</f>
        <v>0</v>
      </c>
      <c r="F36" s="266">
        <f t="shared" si="9"/>
        <v>0</v>
      </c>
      <c r="G36" s="266">
        <f t="shared" si="9"/>
        <v>10</v>
      </c>
      <c r="H36" s="266">
        <f t="shared" si="9"/>
        <v>0</v>
      </c>
      <c r="I36" s="266">
        <f t="shared" si="9"/>
        <v>0</v>
      </c>
      <c r="J36" s="266">
        <f t="shared" si="9"/>
        <v>7417</v>
      </c>
      <c r="K36" s="266">
        <f t="shared" si="9"/>
        <v>3958</v>
      </c>
      <c r="L36" s="266">
        <f t="shared" si="9"/>
        <v>0</v>
      </c>
      <c r="M36" s="266">
        <f t="shared" si="9"/>
        <v>3801</v>
      </c>
      <c r="N36" s="266">
        <f t="shared" si="9"/>
        <v>0</v>
      </c>
      <c r="O36" s="266">
        <f t="shared" si="9"/>
        <v>0</v>
      </c>
      <c r="P36" s="266">
        <f t="shared" si="9"/>
        <v>0</v>
      </c>
      <c r="Q36" s="266">
        <f t="shared" si="9"/>
        <v>2632</v>
      </c>
      <c r="R36" s="266">
        <f t="shared" si="9"/>
        <v>0</v>
      </c>
      <c r="S36" s="266">
        <f t="shared" si="9"/>
        <v>1526</v>
      </c>
      <c r="T36" s="266">
        <f t="shared" si="9"/>
        <v>600</v>
      </c>
      <c r="U36" s="266">
        <f t="shared" si="9"/>
        <v>0</v>
      </c>
      <c r="V36" s="266">
        <f t="shared" si="9"/>
        <v>182</v>
      </c>
      <c r="W36" s="266">
        <f t="shared" si="9"/>
        <v>112</v>
      </c>
      <c r="X36" s="266">
        <f t="shared" si="9"/>
        <v>667</v>
      </c>
      <c r="Y36" s="266">
        <f t="shared" si="9"/>
        <v>43</v>
      </c>
      <c r="Z36" s="266">
        <f t="shared" si="9"/>
        <v>0</v>
      </c>
      <c r="AA36" s="266">
        <f t="shared" si="9"/>
        <v>128</v>
      </c>
      <c r="AB36" s="266">
        <f t="shared" si="9"/>
        <v>1076</v>
      </c>
      <c r="AC36" s="266">
        <f t="shared" si="9"/>
        <v>4</v>
      </c>
      <c r="AD36" s="266">
        <f t="shared" si="9"/>
        <v>0</v>
      </c>
      <c r="AE36" s="266">
        <f t="shared" si="9"/>
        <v>861</v>
      </c>
      <c r="AF36" s="266">
        <f t="shared" si="9"/>
        <v>4</v>
      </c>
      <c r="AG36" s="266">
        <f t="shared" si="9"/>
        <v>461</v>
      </c>
      <c r="AH36" s="266">
        <f t="shared" si="9"/>
        <v>2290</v>
      </c>
      <c r="AI36" s="266">
        <f t="shared" si="9"/>
        <v>1420</v>
      </c>
      <c r="AJ36" s="266">
        <f t="shared" si="9"/>
        <v>1172</v>
      </c>
      <c r="AK36" s="266">
        <f t="shared" si="9"/>
        <v>0</v>
      </c>
      <c r="AL36" s="266">
        <f t="shared" si="9"/>
        <v>665</v>
      </c>
      <c r="AM36" s="266">
        <f t="shared" si="9"/>
        <v>1023</v>
      </c>
      <c r="AN36" s="266">
        <f t="shared" si="9"/>
        <v>271</v>
      </c>
      <c r="AO36" s="266">
        <f t="shared" si="9"/>
        <v>1201</v>
      </c>
      <c r="AP36" s="266">
        <f t="shared" si="9"/>
        <v>567</v>
      </c>
      <c r="AQ36" s="266">
        <f t="shared" si="9"/>
        <v>621</v>
      </c>
      <c r="AR36" s="266">
        <f t="shared" si="9"/>
        <v>1588</v>
      </c>
      <c r="AS36" s="266">
        <f t="shared" si="9"/>
        <v>189</v>
      </c>
      <c r="AT36" s="266">
        <f t="shared" si="9"/>
        <v>839</v>
      </c>
      <c r="AU36" s="266">
        <f t="shared" si="9"/>
        <v>284</v>
      </c>
      <c r="AV36" s="266">
        <f t="shared" si="9"/>
        <v>0</v>
      </c>
      <c r="AW36" s="266">
        <f t="shared" si="9"/>
        <v>0</v>
      </c>
      <c r="AX36" s="266">
        <f t="shared" si="9"/>
        <v>23</v>
      </c>
      <c r="AY36" s="266">
        <f t="shared" si="9"/>
        <v>11</v>
      </c>
      <c r="AZ36" s="266">
        <f t="shared" si="9"/>
        <v>215</v>
      </c>
      <c r="BA36" s="266">
        <f t="shared" si="9"/>
        <v>4</v>
      </c>
      <c r="BB36" s="266">
        <f t="shared" si="9"/>
        <v>0</v>
      </c>
      <c r="BC36" s="266">
        <f t="shared" si="9"/>
        <v>0</v>
      </c>
      <c r="BD36" s="266">
        <f t="shared" si="9"/>
        <v>1622</v>
      </c>
      <c r="BE36" s="266">
        <f t="shared" si="9"/>
        <v>411</v>
      </c>
      <c r="BF36" s="266">
        <f>+SUM(BF16:BF19)+BF25</f>
        <v>1</v>
      </c>
      <c r="BG36" s="266">
        <f t="shared" si="9"/>
        <v>1</v>
      </c>
      <c r="BH36" s="266">
        <f t="shared" si="9"/>
        <v>2</v>
      </c>
      <c r="BI36" s="266">
        <f t="shared" si="9"/>
        <v>3</v>
      </c>
      <c r="BJ36" s="266">
        <f>+SUM(BJ16:BJ19)+BJ25</f>
        <v>0</v>
      </c>
      <c r="BK36" s="266">
        <f t="shared" si="9"/>
        <v>225</v>
      </c>
      <c r="BL36" s="266">
        <f t="shared" si="9"/>
        <v>147</v>
      </c>
      <c r="BM36" s="266">
        <f t="shared" si="9"/>
        <v>71</v>
      </c>
      <c r="BN36" s="266">
        <f t="shared" si="9"/>
        <v>882</v>
      </c>
      <c r="BO36" s="266">
        <f t="shared" si="9"/>
        <v>0</v>
      </c>
      <c r="BP36" s="266">
        <f aca="true" t="shared" si="10" ref="BP36:CH36">+SUM(BP16:BP19)+BP25</f>
        <v>189</v>
      </c>
      <c r="BQ36" s="266">
        <f t="shared" si="10"/>
        <v>55</v>
      </c>
      <c r="BR36" s="266">
        <f t="shared" si="10"/>
        <v>147</v>
      </c>
      <c r="BS36" s="266">
        <f t="shared" si="10"/>
        <v>14</v>
      </c>
      <c r="BT36" s="266">
        <f t="shared" si="10"/>
        <v>48</v>
      </c>
      <c r="BU36" s="266">
        <f t="shared" si="10"/>
        <v>237</v>
      </c>
      <c r="BV36" s="266">
        <f t="shared" si="10"/>
        <v>15</v>
      </c>
      <c r="BW36" s="266">
        <f t="shared" si="10"/>
        <v>51</v>
      </c>
      <c r="BX36" s="266">
        <f t="shared" si="10"/>
        <v>59</v>
      </c>
      <c r="BY36" s="266">
        <f t="shared" si="10"/>
        <v>57</v>
      </c>
      <c r="BZ36" s="266">
        <f t="shared" si="10"/>
        <v>205</v>
      </c>
      <c r="CA36" s="266">
        <f t="shared" si="10"/>
        <v>45</v>
      </c>
      <c r="CB36" s="266">
        <f t="shared" si="10"/>
        <v>11</v>
      </c>
      <c r="CC36" s="266">
        <f t="shared" si="10"/>
        <v>21</v>
      </c>
      <c r="CD36" s="266">
        <f t="shared" si="10"/>
        <v>52</v>
      </c>
      <c r="CE36" s="266">
        <f t="shared" si="10"/>
        <v>2</v>
      </c>
      <c r="CF36" s="266">
        <f t="shared" si="10"/>
        <v>0</v>
      </c>
      <c r="CG36" s="266">
        <f t="shared" si="10"/>
        <v>10</v>
      </c>
      <c r="CH36" s="266">
        <f t="shared" si="10"/>
        <v>0</v>
      </c>
      <c r="CJ36" s="267">
        <f t="shared" si="2"/>
        <v>44735</v>
      </c>
    </row>
    <row r="37" spans="2:90" s="264" customFormat="1" ht="12.75">
      <c r="B37" s="273" t="s">
        <v>523</v>
      </c>
      <c r="C37" s="266">
        <v>11583</v>
      </c>
      <c r="D37" s="266">
        <v>6148</v>
      </c>
      <c r="E37" s="266">
        <v>0</v>
      </c>
      <c r="F37" s="266">
        <v>0</v>
      </c>
      <c r="G37" s="266">
        <v>989</v>
      </c>
      <c r="H37" s="266">
        <v>327</v>
      </c>
      <c r="I37" s="266">
        <v>0</v>
      </c>
      <c r="J37" s="266">
        <v>19528</v>
      </c>
      <c r="K37" s="266">
        <v>4821</v>
      </c>
      <c r="L37" s="266">
        <v>54</v>
      </c>
      <c r="M37" s="266">
        <v>6389</v>
      </c>
      <c r="N37" s="266">
        <v>94</v>
      </c>
      <c r="O37" s="266">
        <v>6</v>
      </c>
      <c r="P37" s="266">
        <v>0</v>
      </c>
      <c r="Q37" s="266">
        <v>8252</v>
      </c>
      <c r="R37" s="266">
        <v>61</v>
      </c>
      <c r="S37" s="266">
        <v>5247</v>
      </c>
      <c r="T37" s="266">
        <v>4505</v>
      </c>
      <c r="U37" s="266">
        <v>130</v>
      </c>
      <c r="V37" s="266">
        <v>4029</v>
      </c>
      <c r="W37" s="266">
        <v>2982</v>
      </c>
      <c r="X37" s="266">
        <v>12913</v>
      </c>
      <c r="Y37" s="266">
        <v>1026</v>
      </c>
      <c r="Z37" s="266">
        <v>0</v>
      </c>
      <c r="AA37" s="266">
        <v>1075</v>
      </c>
      <c r="AB37" s="266">
        <v>6120</v>
      </c>
      <c r="AC37" s="266">
        <v>217</v>
      </c>
      <c r="AD37" s="266">
        <v>0</v>
      </c>
      <c r="AE37" s="266">
        <v>1769</v>
      </c>
      <c r="AF37" s="266">
        <v>48</v>
      </c>
      <c r="AG37" s="266">
        <v>2159</v>
      </c>
      <c r="AH37" s="266">
        <v>10079</v>
      </c>
      <c r="AI37" s="266">
        <v>560</v>
      </c>
      <c r="AJ37" s="266">
        <v>6970</v>
      </c>
      <c r="AK37" s="266">
        <v>30</v>
      </c>
      <c r="AL37" s="266">
        <v>8945</v>
      </c>
      <c r="AM37" s="266">
        <v>1767</v>
      </c>
      <c r="AN37" s="266">
        <v>1185</v>
      </c>
      <c r="AO37" s="266">
        <v>6922</v>
      </c>
      <c r="AP37" s="266">
        <v>1958</v>
      </c>
      <c r="AQ37" s="266">
        <v>1892</v>
      </c>
      <c r="AR37" s="266">
        <v>8447</v>
      </c>
      <c r="AS37" s="266">
        <v>573</v>
      </c>
      <c r="AT37" s="266">
        <v>804</v>
      </c>
      <c r="AU37" s="266">
        <v>5640</v>
      </c>
      <c r="AV37" s="266">
        <v>719</v>
      </c>
      <c r="AW37" s="266">
        <v>2299</v>
      </c>
      <c r="AX37" s="266">
        <v>3503</v>
      </c>
      <c r="AY37" s="266">
        <v>992</v>
      </c>
      <c r="AZ37" s="266">
        <v>2957</v>
      </c>
      <c r="BA37" s="266">
        <v>167</v>
      </c>
      <c r="BB37" s="266">
        <v>36</v>
      </c>
      <c r="BC37" s="266">
        <v>0</v>
      </c>
      <c r="BD37" s="266">
        <v>56</v>
      </c>
      <c r="BE37" s="266">
        <v>3160</v>
      </c>
      <c r="BF37" s="266">
        <v>431</v>
      </c>
      <c r="BG37" s="266">
        <v>455</v>
      </c>
      <c r="BH37" s="266">
        <v>2376</v>
      </c>
      <c r="BI37" s="266">
        <v>1464</v>
      </c>
      <c r="BJ37" s="266">
        <v>0</v>
      </c>
      <c r="BK37" s="266">
        <v>2909</v>
      </c>
      <c r="BL37" s="266">
        <v>329</v>
      </c>
      <c r="BM37" s="266">
        <v>16</v>
      </c>
      <c r="BN37" s="266">
        <v>325</v>
      </c>
      <c r="BO37" s="266">
        <v>7</v>
      </c>
      <c r="BP37" s="266">
        <v>900</v>
      </c>
      <c r="BQ37" s="266">
        <v>1488</v>
      </c>
      <c r="BR37" s="266">
        <v>917</v>
      </c>
      <c r="BS37" s="266">
        <v>1413</v>
      </c>
      <c r="BT37" s="266">
        <v>225</v>
      </c>
      <c r="BU37" s="266">
        <v>0</v>
      </c>
      <c r="BV37" s="266">
        <v>1181</v>
      </c>
      <c r="BW37" s="266">
        <v>479</v>
      </c>
      <c r="BX37" s="266">
        <v>588</v>
      </c>
      <c r="BY37" s="266">
        <v>430</v>
      </c>
      <c r="BZ37" s="266">
        <v>0</v>
      </c>
      <c r="CA37" s="266">
        <v>224</v>
      </c>
      <c r="CB37" s="266">
        <v>403</v>
      </c>
      <c r="CC37" s="266">
        <v>0</v>
      </c>
      <c r="CD37" s="266">
        <v>127</v>
      </c>
      <c r="CE37" s="266">
        <v>57</v>
      </c>
      <c r="CF37" s="266">
        <v>0</v>
      </c>
      <c r="CG37" s="266">
        <v>0</v>
      </c>
      <c r="CH37" s="266">
        <v>0</v>
      </c>
      <c r="CJ37" s="267">
        <f t="shared" si="2"/>
        <v>186877</v>
      </c>
      <c r="CL37" s="267"/>
    </row>
    <row r="38" spans="2:90" s="264" customFormat="1" ht="12.75">
      <c r="B38" s="251"/>
      <c r="CL38" s="267"/>
    </row>
    <row r="39" spans="2:90" s="264" customFormat="1" ht="12.75">
      <c r="B39" s="251"/>
      <c r="CL39" s="267"/>
    </row>
    <row r="40" spans="2:92" s="264" customFormat="1" ht="13.5" customHeight="1">
      <c r="B40" s="271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J40" s="267"/>
      <c r="CK40" s="251"/>
      <c r="CL40" s="267"/>
      <c r="CM40" s="267"/>
      <c r="CN40" s="267"/>
    </row>
    <row r="41" spans="2:10" s="264" customFormat="1" ht="12.75">
      <c r="B41" s="251"/>
      <c r="G41" s="251"/>
      <c r="H41" s="251"/>
      <c r="I41" s="251"/>
      <c r="J41" s="251"/>
    </row>
    <row r="42" s="264" customFormat="1" ht="12.75">
      <c r="B42" s="251"/>
    </row>
    <row r="43" s="264" customFormat="1" ht="12.75">
      <c r="B43" s="251"/>
    </row>
    <row r="44" s="264" customFormat="1" ht="12.75">
      <c r="B44" s="251"/>
    </row>
    <row r="45" s="264" customFormat="1" ht="12.75">
      <c r="B45" s="251"/>
    </row>
    <row r="46" spans="2:86" s="264" customFormat="1" ht="12.75">
      <c r="B46" s="271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</row>
    <row r="47" spans="2:86" ht="12.75">
      <c r="B47" s="251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</row>
    <row r="48" spans="2:86" ht="12.75">
      <c r="B48" s="251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</row>
    <row r="49" spans="2:86" ht="12.75">
      <c r="B49" s="251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</row>
    <row r="50" spans="2:86" ht="12.75">
      <c r="B50" s="271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</row>
    <row r="51" spans="2:86" ht="12.75">
      <c r="B51" s="251"/>
      <c r="C51" s="264"/>
      <c r="D51" s="275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</row>
    <row r="52" spans="2:86" ht="12.75">
      <c r="B52" s="251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</row>
    <row r="53" spans="2:86" ht="12.75">
      <c r="B53" s="251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</row>
    <row r="54" spans="2:86" ht="12.75">
      <c r="B54" s="251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</row>
    <row r="55" spans="2:86" ht="12.75">
      <c r="B55" s="251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</row>
    <row r="56" spans="2:86" ht="12.75">
      <c r="B56" s="251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  <c r="CH56" s="264"/>
    </row>
    <row r="57" ht="12.75">
      <c r="C57" s="251"/>
    </row>
    <row r="58" ht="12.75">
      <c r="C58" s="251"/>
    </row>
    <row r="59" ht="12.75">
      <c r="C59" s="251"/>
    </row>
    <row r="60" ht="12.75">
      <c r="C60" s="251"/>
    </row>
    <row r="61" ht="12.75">
      <c r="C61" s="251"/>
    </row>
    <row r="62" ht="12.75">
      <c r="C62" s="251"/>
    </row>
    <row r="63" ht="12.75">
      <c r="C63" s="251"/>
    </row>
  </sheetData>
  <sheetProtection/>
  <mergeCells count="55">
    <mergeCell ref="AE4:AF4"/>
    <mergeCell ref="BN1:BO1"/>
    <mergeCell ref="BN2:BO2"/>
    <mergeCell ref="BN4:BO4"/>
    <mergeCell ref="BG1:BJ1"/>
    <mergeCell ref="BG2:BJ2"/>
    <mergeCell ref="BG3:BJ3"/>
    <mergeCell ref="BG4:BJ4"/>
    <mergeCell ref="BL1:BM1"/>
    <mergeCell ref="BL2:BM2"/>
    <mergeCell ref="M4:P4"/>
    <mergeCell ref="Q1:R1"/>
    <mergeCell ref="Q2:R2"/>
    <mergeCell ref="Q3:R3"/>
    <mergeCell ref="Q4:R4"/>
    <mergeCell ref="T3:U3"/>
    <mergeCell ref="T4:U4"/>
    <mergeCell ref="BL3:BM3"/>
    <mergeCell ref="BL4:BM4"/>
    <mergeCell ref="AZ3:BC3"/>
    <mergeCell ref="AZ4:BC4"/>
    <mergeCell ref="D4:I4"/>
    <mergeCell ref="K1:L1"/>
    <mergeCell ref="K2:L2"/>
    <mergeCell ref="K4:L4"/>
    <mergeCell ref="D1:I1"/>
    <mergeCell ref="D2:I2"/>
    <mergeCell ref="AA3:AD3"/>
    <mergeCell ref="AA4:AD4"/>
    <mergeCell ref="V1:Z1"/>
    <mergeCell ref="V2:Z2"/>
    <mergeCell ref="AA1:AD1"/>
    <mergeCell ref="AA2:AD2"/>
    <mergeCell ref="V3:Z3"/>
    <mergeCell ref="V4:Z4"/>
    <mergeCell ref="AZ1:BC1"/>
    <mergeCell ref="AZ2:BC2"/>
    <mergeCell ref="M1:P1"/>
    <mergeCell ref="M2:P2"/>
    <mergeCell ref="T1:U1"/>
    <mergeCell ref="T2:U2"/>
    <mergeCell ref="AG1:AH1"/>
    <mergeCell ref="AG2:AH2"/>
    <mergeCell ref="AE1:AF1"/>
    <mergeCell ref="AE2:AF2"/>
    <mergeCell ref="AG3:AH3"/>
    <mergeCell ref="AG4:AH4"/>
    <mergeCell ref="AV1:AY1"/>
    <mergeCell ref="AV2:AY2"/>
    <mergeCell ref="AV3:AY3"/>
    <mergeCell ref="AV4:AY4"/>
    <mergeCell ref="AJ1:AK1"/>
    <mergeCell ref="AJ2:AK2"/>
    <mergeCell ref="AJ3:AK3"/>
    <mergeCell ref="AJ4:AK4"/>
  </mergeCells>
  <printOptions/>
  <pageMargins left="0.4724409448818898" right="0.1968503937007874" top="0.984251968503937" bottom="0.3937007874015748" header="0.5118110236220472" footer="0.5118110236220472"/>
  <pageSetup firstPageNumber="72" useFirstPageNumber="1" horizontalDpi="600" verticalDpi="600" orientation="landscape" paperSize="9" r:id="rId1"/>
  <headerFooter alignWithMargins="0">
    <oddHeader>&amp;C&amp;"Times New Roman,Bold"&amp;14 6.1. SUNDURLIÐUN Á FJÁRFESTINGUM 31.12.2003 Í SAMRÆMI VIÐ ÁKVÆÐI LAGA NR. 129/1997</oddHeader>
    <oddFooter>&amp;R&amp;"Times New Roman,Regular"&amp;9&amp;P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9.421875" style="126" customWidth="1"/>
    <col min="2" max="2" width="11.140625" style="126" customWidth="1"/>
    <col min="3" max="9" width="11.140625" style="134" customWidth="1"/>
  </cols>
  <sheetData>
    <row r="2" spans="2:9" ht="12.75">
      <c r="B2" s="393" t="s">
        <v>450</v>
      </c>
      <c r="C2" s="393"/>
      <c r="D2" s="391" t="s">
        <v>273</v>
      </c>
      <c r="E2" s="391"/>
      <c r="F2" s="391" t="s">
        <v>279</v>
      </c>
      <c r="G2" s="391"/>
      <c r="H2" s="391"/>
      <c r="I2" s="391"/>
    </row>
    <row r="3" spans="2:9" ht="12.75">
      <c r="B3" s="128">
        <v>37985</v>
      </c>
      <c r="C3" s="128">
        <v>37621</v>
      </c>
      <c r="D3" s="138">
        <v>2003</v>
      </c>
      <c r="E3" s="138">
        <v>2002</v>
      </c>
      <c r="F3" s="138">
        <v>2003</v>
      </c>
      <c r="G3" s="138">
        <v>2002</v>
      </c>
      <c r="H3" s="279"/>
      <c r="I3" s="129"/>
    </row>
    <row r="4" spans="2:8" ht="12.75">
      <c r="B4"/>
      <c r="C4" s="128"/>
      <c r="D4"/>
      <c r="E4" s="138"/>
      <c r="F4"/>
      <c r="G4" s="138"/>
      <c r="H4"/>
    </row>
    <row r="5" spans="1:9" ht="41.25">
      <c r="A5" s="144" t="s">
        <v>461</v>
      </c>
      <c r="B5" s="76">
        <v>57471442</v>
      </c>
      <c r="C5" s="76">
        <v>44254901</v>
      </c>
      <c r="D5" s="141">
        <v>6053332</v>
      </c>
      <c r="E5" s="141">
        <v>6251877</v>
      </c>
      <c r="F5" s="141">
        <v>626155</v>
      </c>
      <c r="G5" s="141">
        <v>623333</v>
      </c>
      <c r="H5"/>
      <c r="I5" s="41"/>
    </row>
    <row r="6" spans="1:9" ht="12.75">
      <c r="A6" s="126" t="s">
        <v>451</v>
      </c>
      <c r="B6" s="142">
        <v>9417403</v>
      </c>
      <c r="C6" s="142">
        <v>5617533</v>
      </c>
      <c r="D6" s="141">
        <v>2837020</v>
      </c>
      <c r="E6" s="141">
        <v>2260522</v>
      </c>
      <c r="F6" s="141">
        <v>87297</v>
      </c>
      <c r="G6" s="141">
        <v>64208</v>
      </c>
      <c r="H6" s="141"/>
      <c r="I6" s="41"/>
    </row>
    <row r="7" spans="1:10" ht="15.75">
      <c r="A7" s="126" t="s">
        <v>535</v>
      </c>
      <c r="B7" s="142">
        <v>16211506</v>
      </c>
      <c r="C7" s="142">
        <v>9061627</v>
      </c>
      <c r="D7" s="141">
        <v>7015135</v>
      </c>
      <c r="E7" s="141">
        <v>5694367</v>
      </c>
      <c r="F7" s="141">
        <v>140093</v>
      </c>
      <c r="G7" s="141">
        <v>63442</v>
      </c>
      <c r="H7"/>
      <c r="I7" s="41"/>
      <c r="J7" s="280"/>
    </row>
    <row r="8" spans="1:10" ht="12.75">
      <c r="A8" s="130" t="s">
        <v>61</v>
      </c>
      <c r="B8" s="143">
        <f aca="true" t="shared" si="0" ref="B8:G8">SUM(B5:B7)</f>
        <v>83100351</v>
      </c>
      <c r="C8" s="143">
        <f t="shared" si="0"/>
        <v>58934061</v>
      </c>
      <c r="D8" s="143">
        <f t="shared" si="0"/>
        <v>15905487</v>
      </c>
      <c r="E8" s="143">
        <f t="shared" si="0"/>
        <v>14206766</v>
      </c>
      <c r="F8" s="143">
        <f t="shared" si="0"/>
        <v>853545</v>
      </c>
      <c r="G8" s="143">
        <f t="shared" si="0"/>
        <v>750983</v>
      </c>
      <c r="H8"/>
      <c r="I8" s="143"/>
      <c r="J8" s="139"/>
    </row>
    <row r="9" spans="1:7" ht="12.75">
      <c r="A9" s="130"/>
      <c r="B9" s="131"/>
      <c r="C9" s="132"/>
      <c r="D9" s="132"/>
      <c r="E9" s="132"/>
      <c r="F9" s="132"/>
      <c r="G9" s="132"/>
    </row>
    <row r="10" spans="1:7" ht="12.75">
      <c r="A10" s="133"/>
      <c r="B10" s="142"/>
      <c r="C10" s="136"/>
      <c r="D10" s="132"/>
      <c r="E10" s="132"/>
      <c r="F10" s="132"/>
      <c r="G10" s="132"/>
    </row>
    <row r="11" spans="1:3" ht="12.75">
      <c r="A11" s="145"/>
      <c r="C11" s="137"/>
    </row>
    <row r="12" spans="1:7" ht="15.75">
      <c r="A12" s="160" t="s">
        <v>488</v>
      </c>
      <c r="B12" s="150">
        <v>6485759</v>
      </c>
      <c r="C12" s="150">
        <v>4255189</v>
      </c>
      <c r="D12" s="150">
        <v>1356385</v>
      </c>
      <c r="E12" s="150">
        <v>1501687</v>
      </c>
      <c r="F12" s="150">
        <v>7528</v>
      </c>
      <c r="G12" s="150">
        <v>2243</v>
      </c>
    </row>
    <row r="13" spans="1:7" ht="12.75">
      <c r="A13" s="151" t="s">
        <v>460</v>
      </c>
      <c r="B13" s="150">
        <v>50985683</v>
      </c>
      <c r="C13" s="150">
        <v>39999709</v>
      </c>
      <c r="D13" s="150">
        <v>4696947</v>
      </c>
      <c r="E13" s="150">
        <v>4750190</v>
      </c>
      <c r="F13" s="150">
        <v>618627</v>
      </c>
      <c r="G13" s="150">
        <v>621090</v>
      </c>
    </row>
    <row r="14" spans="1:7" ht="12.75">
      <c r="A14" s="152" t="s">
        <v>61</v>
      </c>
      <c r="B14" s="153">
        <f aca="true" t="shared" si="1" ref="B14:G14">SUM(B12:B13)</f>
        <v>57471442</v>
      </c>
      <c r="C14" s="153">
        <f t="shared" si="1"/>
        <v>44254898</v>
      </c>
      <c r="D14" s="153">
        <f t="shared" si="1"/>
        <v>6053332</v>
      </c>
      <c r="E14" s="153">
        <f t="shared" si="1"/>
        <v>6251877</v>
      </c>
      <c r="F14" s="153">
        <f t="shared" si="1"/>
        <v>626155</v>
      </c>
      <c r="G14" s="153">
        <f t="shared" si="1"/>
        <v>623333</v>
      </c>
    </row>
    <row r="15" spans="1:7" ht="12.75">
      <c r="A15" s="154" t="s">
        <v>487</v>
      </c>
      <c r="B15" s="150">
        <v>6528551</v>
      </c>
      <c r="C15" s="150">
        <v>5029852</v>
      </c>
      <c r="D15" s="150">
        <v>613242</v>
      </c>
      <c r="E15" s="150">
        <v>597332</v>
      </c>
      <c r="F15" s="281"/>
      <c r="G15" s="150"/>
    </row>
    <row r="17" spans="1:2" ht="15.75">
      <c r="A17" s="140"/>
      <c r="B17" s="282"/>
    </row>
    <row r="18" ht="15.75">
      <c r="A18" s="140"/>
    </row>
    <row r="19" spans="3:7" ht="12.75">
      <c r="C19" s="392" t="s">
        <v>450</v>
      </c>
      <c r="D19" s="392"/>
      <c r="E19" s="392"/>
      <c r="F19" s="392"/>
      <c r="G19" s="147"/>
    </row>
    <row r="20" spans="1:7" ht="12.75">
      <c r="A20" s="156"/>
      <c r="B20" s="151"/>
      <c r="C20" s="283" t="s">
        <v>536</v>
      </c>
      <c r="D20" s="283" t="s">
        <v>452</v>
      </c>
      <c r="E20" s="283" t="s">
        <v>453</v>
      </c>
      <c r="F20" s="283" t="s">
        <v>454</v>
      </c>
      <c r="G20" s="283" t="s">
        <v>455</v>
      </c>
    </row>
    <row r="21" spans="1:7" ht="15.75">
      <c r="A21" s="155" t="s">
        <v>537</v>
      </c>
      <c r="B21" s="151"/>
      <c r="C21"/>
      <c r="D21" s="151"/>
      <c r="E21" s="158"/>
      <c r="F21" s="158"/>
      <c r="G21" s="158"/>
    </row>
    <row r="22" spans="1:7" ht="12.75">
      <c r="A22" s="157" t="s">
        <v>490</v>
      </c>
      <c r="B22" s="151"/>
      <c r="C22" s="150">
        <v>12404684</v>
      </c>
      <c r="D22" s="150">
        <v>7013146.091</v>
      </c>
      <c r="E22" s="150">
        <v>4606376.471</v>
      </c>
      <c r="F22" s="150">
        <v>1883174.941</v>
      </c>
      <c r="G22" s="150">
        <v>569729.71</v>
      </c>
    </row>
    <row r="23" spans="1:7" ht="12.75">
      <c r="A23" s="157" t="s">
        <v>456</v>
      </c>
      <c r="B23" s="151"/>
      <c r="C23" s="150">
        <v>3359891</v>
      </c>
      <c r="D23" s="150">
        <v>1794357.803</v>
      </c>
      <c r="E23" s="150">
        <v>746247.476</v>
      </c>
      <c r="F23" s="150">
        <v>81455.597</v>
      </c>
      <c r="G23" s="150">
        <v>27303.389</v>
      </c>
    </row>
    <row r="24" spans="1:7" ht="12.75">
      <c r="A24" s="157" t="s">
        <v>457</v>
      </c>
      <c r="B24" s="151"/>
      <c r="C24" s="150">
        <v>446931</v>
      </c>
      <c r="D24" s="150">
        <v>254123.053</v>
      </c>
      <c r="E24" s="150">
        <v>173376.535</v>
      </c>
      <c r="F24" s="150">
        <v>51639.257</v>
      </c>
      <c r="G24" s="150">
        <v>16000.695</v>
      </c>
    </row>
    <row r="25" spans="1:7" ht="12.75">
      <c r="A25" s="159" t="s">
        <v>61</v>
      </c>
      <c r="B25" s="151"/>
      <c r="C25" s="153">
        <f>SUM(C22:C24)</f>
        <v>16211506</v>
      </c>
      <c r="D25" s="153">
        <f>SUM(D22:D24)</f>
        <v>9061626.946999999</v>
      </c>
      <c r="E25" s="153">
        <f>SUM(E22:E24)</f>
        <v>5526000.482</v>
      </c>
      <c r="F25" s="153">
        <f>SUM(F22:F24)</f>
        <v>2016269.7950000002</v>
      </c>
      <c r="G25" s="153">
        <f>SUM(G22:G24)</f>
        <v>613033.7939999999</v>
      </c>
    </row>
    <row r="26" spans="3:6" ht="12.75">
      <c r="C26" s="126"/>
      <c r="D26" s="126"/>
      <c r="E26" s="126"/>
      <c r="F26" s="126"/>
    </row>
    <row r="27" spans="1:6" ht="12.75">
      <c r="A27" s="135" t="s">
        <v>489</v>
      </c>
      <c r="B27" s="135"/>
      <c r="C27" s="146">
        <v>72882</v>
      </c>
      <c r="D27" s="146">
        <v>52268</v>
      </c>
      <c r="E27" s="146">
        <v>36006</v>
      </c>
      <c r="F27" s="150"/>
    </row>
    <row r="28" spans="1:6" ht="12.75">
      <c r="A28" s="135" t="s">
        <v>458</v>
      </c>
      <c r="C28" s="146">
        <v>61590</v>
      </c>
      <c r="D28" s="146">
        <v>35340</v>
      </c>
      <c r="E28" s="146">
        <v>26287</v>
      </c>
      <c r="F28" s="146">
        <v>11907</v>
      </c>
    </row>
    <row r="29" spans="1:6" ht="12.75">
      <c r="A29" s="135" t="s">
        <v>459</v>
      </c>
      <c r="C29" s="146">
        <v>201</v>
      </c>
      <c r="D29" s="146">
        <v>207</v>
      </c>
      <c r="E29" s="146">
        <v>65</v>
      </c>
      <c r="F29" s="146">
        <v>0</v>
      </c>
    </row>
    <row r="30" spans="1:6" ht="12.75">
      <c r="A30" s="135"/>
      <c r="C30" s="146"/>
      <c r="D30" s="146"/>
      <c r="E30" s="146"/>
      <c r="F30" s="126"/>
    </row>
    <row r="31" spans="4:6" ht="12.75">
      <c r="D31" s="141"/>
      <c r="E31" s="141"/>
      <c r="F31" s="141"/>
    </row>
    <row r="32" spans="4:6" ht="12.75">
      <c r="D32" s="126"/>
      <c r="E32" s="126"/>
      <c r="F32" s="126"/>
    </row>
    <row r="33" spans="4:6" ht="12.75">
      <c r="D33" s="126"/>
      <c r="E33" s="126"/>
      <c r="F33" s="126"/>
    </row>
    <row r="34" spans="1:6" ht="12.75">
      <c r="A34" s="148"/>
      <c r="D34" s="148"/>
      <c r="E34" s="148"/>
      <c r="F34" s="148"/>
    </row>
    <row r="35" ht="12.75">
      <c r="A35" s="135"/>
    </row>
    <row r="38" spans="2:7" ht="12.75">
      <c r="B38" s="127"/>
      <c r="D38" s="149"/>
      <c r="E38" s="149"/>
      <c r="F38" s="149"/>
      <c r="G38" s="149"/>
    </row>
    <row r="39" spans="2:7" ht="12.75">
      <c r="B39" s="143"/>
      <c r="D39" s="141"/>
      <c r="E39" s="141"/>
      <c r="F39" s="141"/>
      <c r="G39" s="141"/>
    </row>
    <row r="40" spans="2:7" ht="12.75">
      <c r="B40" s="143"/>
      <c r="D40" s="141"/>
      <c r="E40" s="141"/>
      <c r="F40" s="141"/>
      <c r="G40" s="141"/>
    </row>
    <row r="41" spans="2:7" ht="12.75">
      <c r="B41" s="143"/>
      <c r="D41" s="141"/>
      <c r="E41" s="141"/>
      <c r="F41" s="141"/>
      <c r="G41" s="141"/>
    </row>
    <row r="42" spans="2:7" ht="12.75">
      <c r="B42" s="143"/>
      <c r="D42" s="141"/>
      <c r="E42" s="141"/>
      <c r="F42" s="141"/>
      <c r="G42" s="141"/>
    </row>
  </sheetData>
  <sheetProtection/>
  <mergeCells count="5">
    <mergeCell ref="H2:I2"/>
    <mergeCell ref="C19:F19"/>
    <mergeCell ref="B2:C2"/>
    <mergeCell ref="D2:E2"/>
    <mergeCell ref="F2:G2"/>
  </mergeCells>
  <printOptions/>
  <pageMargins left="0.4724409448818898" right="0.31496062992125984" top="0.984251968503937" bottom="0.3937007874015748" header="0.5118110236220472" footer="0.5118110236220472"/>
  <pageSetup firstPageNumber="82" useFirstPageNumber="1" horizontalDpi="600" verticalDpi="600" orientation="landscape" paperSize="9" r:id="rId1"/>
  <headerFooter alignWithMargins="0">
    <oddHeader xml:space="preserve">&amp;C&amp;"Times New Roman,Bold"&amp;14 7.1 ÞRÓUN SÉREIGNARSPARNAÐAR HJÁ LÍFEYRISSJÓÐUM OG ÖÐRUM VÖRSLUAÐILUM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N36" sqref="N36"/>
    </sheetView>
  </sheetViews>
  <sheetFormatPr defaultColWidth="9.140625" defaultRowHeight="12.75"/>
  <cols>
    <col min="1" max="1" width="3.28125" style="20" customWidth="1"/>
    <col min="2" max="2" width="3.00390625" style="20" customWidth="1"/>
    <col min="3" max="3" width="38.57421875" style="6" customWidth="1"/>
    <col min="4" max="4" width="4.8515625" style="19" customWidth="1"/>
    <col min="5" max="5" width="11.00390625" style="15" customWidth="1"/>
    <col min="6" max="6" width="3.28125" style="6" customWidth="1"/>
    <col min="7" max="7" width="11.00390625" style="15" customWidth="1"/>
    <col min="8" max="8" width="3.57421875" style="6" customWidth="1"/>
    <col min="9" max="9" width="8.421875" style="6" customWidth="1"/>
    <col min="10" max="11" width="0" style="6" hidden="1" customWidth="1"/>
    <col min="12" max="12" width="9.140625" style="6" customWidth="1"/>
    <col min="13" max="13" width="9.57421875" style="6" bestFit="1" customWidth="1"/>
    <col min="14" max="16384" width="9.140625" style="6" customWidth="1"/>
  </cols>
  <sheetData>
    <row r="1" spans="1:9" ht="12.75">
      <c r="A1" s="3"/>
      <c r="B1" s="3"/>
      <c r="C1" s="4"/>
      <c r="D1" s="5"/>
      <c r="E1" s="7" t="s">
        <v>49</v>
      </c>
      <c r="F1" s="8"/>
      <c r="G1" s="7" t="s">
        <v>49</v>
      </c>
      <c r="H1" s="8"/>
      <c r="I1" s="9" t="s">
        <v>50</v>
      </c>
    </row>
    <row r="2" spans="1:9" ht="13.5" customHeight="1">
      <c r="A2" s="3"/>
      <c r="B2" s="3"/>
      <c r="C2" s="4"/>
      <c r="D2" s="10"/>
      <c r="E2" s="11" t="s">
        <v>496</v>
      </c>
      <c r="F2" s="8"/>
      <c r="G2" s="11" t="s">
        <v>405</v>
      </c>
      <c r="H2" s="8"/>
      <c r="I2" s="12" t="s">
        <v>498</v>
      </c>
    </row>
    <row r="3" spans="1:9" ht="13.5" customHeight="1">
      <c r="A3" s="3"/>
      <c r="B3" s="3"/>
      <c r="C3" s="4"/>
      <c r="D3" s="10"/>
      <c r="E3" s="13" t="s">
        <v>51</v>
      </c>
      <c r="F3" s="14"/>
      <c r="G3" s="13" t="s">
        <v>51</v>
      </c>
      <c r="H3" s="14"/>
      <c r="I3" s="14" t="s">
        <v>52</v>
      </c>
    </row>
    <row r="4" spans="1:9" ht="7.5" customHeight="1">
      <c r="A4" s="3"/>
      <c r="B4" s="3"/>
      <c r="C4" s="4"/>
      <c r="D4" s="10"/>
      <c r="H4" s="4"/>
      <c r="I4" s="4"/>
    </row>
    <row r="5" spans="1:15" ht="13.5" customHeight="1">
      <c r="A5" s="3">
        <v>1</v>
      </c>
      <c r="B5" s="3"/>
      <c r="C5" s="4" t="s">
        <v>32</v>
      </c>
      <c r="D5" s="10" t="s">
        <v>432</v>
      </c>
      <c r="E5" s="16">
        <f>'3.2 Efnah.'!B57</f>
        <v>146257598</v>
      </c>
      <c r="F5" s="17"/>
      <c r="G5" s="15">
        <f>+'3.1 Yfirlit '!B64</f>
        <v>116125953</v>
      </c>
      <c r="H5" s="16"/>
      <c r="I5" s="18">
        <f aca="true" t="shared" si="0" ref="I5:I37">(E5/G5)-1</f>
        <v>0.2594738232202065</v>
      </c>
      <c r="M5" s="15"/>
      <c r="N5" s="16"/>
      <c r="O5" s="16"/>
    </row>
    <row r="6" spans="1:14" ht="13.5" customHeight="1">
      <c r="A6" s="3">
        <v>2</v>
      </c>
      <c r="B6" s="3"/>
      <c r="C6" s="4" t="s">
        <v>38</v>
      </c>
      <c r="D6" s="10"/>
      <c r="E6" s="16">
        <f>'3.2 Efnah.'!C57</f>
        <v>123657259</v>
      </c>
      <c r="F6" s="17"/>
      <c r="G6" s="15">
        <f>+'3.1 Yfirlit '!C64</f>
        <v>101957398</v>
      </c>
      <c r="H6" s="16"/>
      <c r="I6" s="18">
        <f t="shared" si="0"/>
        <v>0.21283262838857464</v>
      </c>
      <c r="M6" s="15"/>
      <c r="N6" s="16"/>
    </row>
    <row r="7" spans="1:14" ht="13.5" customHeight="1">
      <c r="A7" s="3">
        <v>3</v>
      </c>
      <c r="B7" s="3"/>
      <c r="C7" s="4" t="s">
        <v>42</v>
      </c>
      <c r="D7" s="10"/>
      <c r="E7" s="16">
        <f>'3.2 Efnah.'!D57</f>
        <v>64122733</v>
      </c>
      <c r="F7" s="17"/>
      <c r="G7" s="15">
        <f>+'3.1 Yfirlit '!D64</f>
        <v>53673366</v>
      </c>
      <c r="H7" s="16"/>
      <c r="I7" s="18">
        <f t="shared" si="0"/>
        <v>0.1946843989624203</v>
      </c>
      <c r="M7" s="15"/>
      <c r="N7" s="16"/>
    </row>
    <row r="8" spans="1:14" ht="13.5" customHeight="1">
      <c r="A8" s="3">
        <v>4</v>
      </c>
      <c r="B8" s="3"/>
      <c r="C8" s="4" t="s">
        <v>26</v>
      </c>
      <c r="D8" s="10"/>
      <c r="E8" s="16">
        <f>'3.2 Efnah.'!E57</f>
        <v>56246990</v>
      </c>
      <c r="F8" s="17"/>
      <c r="G8" s="15">
        <f>+'3.1 Yfirlit '!E64</f>
        <v>47062605</v>
      </c>
      <c r="H8" s="16"/>
      <c r="I8" s="18">
        <f>(E8/G8)-1</f>
        <v>0.1951524995269598</v>
      </c>
      <c r="M8" s="15"/>
      <c r="N8" s="16"/>
    </row>
    <row r="9" spans="1:14" ht="13.5" customHeight="1">
      <c r="A9" s="3">
        <v>5</v>
      </c>
      <c r="B9" s="3"/>
      <c r="C9" s="4" t="s">
        <v>45</v>
      </c>
      <c r="D9" s="10"/>
      <c r="E9" s="16">
        <f>'3.2 Efnah.'!F57</f>
        <v>52296137.423</v>
      </c>
      <c r="F9" s="17"/>
      <c r="G9" s="15">
        <f>+'3.1 Yfirlit '!F64</f>
        <v>46039936.704</v>
      </c>
      <c r="H9" s="16"/>
      <c r="I9" s="18">
        <f t="shared" si="0"/>
        <v>0.13588638835935773</v>
      </c>
      <c r="M9" s="15"/>
      <c r="N9" s="16"/>
    </row>
    <row r="10" spans="1:14" ht="13.5" customHeight="1">
      <c r="A10" s="3">
        <v>6</v>
      </c>
      <c r="B10" s="3"/>
      <c r="C10" s="4" t="s">
        <v>24</v>
      </c>
      <c r="D10" s="46"/>
      <c r="E10" s="30">
        <f>+'3.2 Efnah.'!G57</f>
        <v>32411283</v>
      </c>
      <c r="F10" s="17"/>
      <c r="G10" s="30">
        <f>+'3.1 Yfirlit '!G64</f>
        <v>28378311</v>
      </c>
      <c r="H10" s="16"/>
      <c r="I10" s="18">
        <f t="shared" si="0"/>
        <v>0.14211458884920947</v>
      </c>
      <c r="M10" s="15"/>
      <c r="N10" s="16"/>
    </row>
    <row r="11" spans="1:14" ht="13.5" customHeight="1">
      <c r="A11" s="3">
        <v>7</v>
      </c>
      <c r="B11" s="3"/>
      <c r="C11" s="4" t="s">
        <v>48</v>
      </c>
      <c r="D11" s="10"/>
      <c r="E11" s="30">
        <f>'3.2 Efnah.'!H57</f>
        <v>28332337</v>
      </c>
      <c r="F11" s="17"/>
      <c r="G11" s="30">
        <f>+'3.1 Yfirlit '!H64</f>
        <v>23939623</v>
      </c>
      <c r="H11" s="16"/>
      <c r="I11" s="18">
        <f t="shared" si="0"/>
        <v>0.18349136074532169</v>
      </c>
      <c r="M11" s="15"/>
      <c r="N11" s="16"/>
    </row>
    <row r="12" spans="1:14" ht="13.5" customHeight="1">
      <c r="A12" s="3">
        <v>8</v>
      </c>
      <c r="B12" s="3"/>
      <c r="C12" s="4" t="s">
        <v>507</v>
      </c>
      <c r="D12" s="10" t="s">
        <v>53</v>
      </c>
      <c r="E12" s="69">
        <f>'3.2 Efnah.'!I57</f>
        <v>26174734</v>
      </c>
      <c r="F12" s="17"/>
      <c r="G12" s="15">
        <f>+'3.1 Yfirlit '!I64</f>
        <v>19484344</v>
      </c>
      <c r="H12" s="16"/>
      <c r="I12" s="18">
        <f>(E12/G12)-1</f>
        <v>0.34337260725842245</v>
      </c>
      <c r="M12" s="15"/>
      <c r="N12" s="16"/>
    </row>
    <row r="13" spans="1:14" ht="13.5" customHeight="1">
      <c r="A13" s="3">
        <v>9</v>
      </c>
      <c r="B13" s="3"/>
      <c r="C13" s="4" t="s">
        <v>10</v>
      </c>
      <c r="D13" s="10"/>
      <c r="E13" s="69">
        <f>'3.2 Efnah.'!J57</f>
        <v>25820127</v>
      </c>
      <c r="F13" s="17"/>
      <c r="G13" s="15">
        <f>+'3.1 Yfirlit '!J64</f>
        <v>19680484</v>
      </c>
      <c r="H13" s="16"/>
      <c r="I13" s="18">
        <f>(E13/G13)-1</f>
        <v>0.31196605733883365</v>
      </c>
      <c r="M13" s="15"/>
      <c r="N13" s="16"/>
    </row>
    <row r="14" spans="1:14" ht="13.5" customHeight="1">
      <c r="A14" s="3">
        <v>10</v>
      </c>
      <c r="B14" s="3"/>
      <c r="C14" s="4" t="s">
        <v>43</v>
      </c>
      <c r="D14" s="10"/>
      <c r="E14" s="69">
        <f>'3.2 Efnah.'!K57</f>
        <v>22826729</v>
      </c>
      <c r="F14" s="17"/>
      <c r="G14" s="30">
        <f>+'3.1 Yfirlit '!K64</f>
        <v>18980559</v>
      </c>
      <c r="H14" s="16"/>
      <c r="I14" s="18">
        <f t="shared" si="0"/>
        <v>0.20263734065998795</v>
      </c>
      <c r="M14" s="15"/>
      <c r="N14" s="16"/>
    </row>
    <row r="15" spans="1:14" ht="13.5" customHeight="1">
      <c r="A15" s="3">
        <v>11</v>
      </c>
      <c r="B15" s="3"/>
      <c r="C15" s="4" t="s">
        <v>15</v>
      </c>
      <c r="D15" s="10"/>
      <c r="E15" s="69">
        <f>'3.2 Efnah.'!L57</f>
        <v>22469756</v>
      </c>
      <c r="F15" s="17"/>
      <c r="G15" s="30">
        <f>+'3.1 Yfirlit '!L64</f>
        <v>19789062</v>
      </c>
      <c r="H15" s="16"/>
      <c r="I15" s="18">
        <f>(E15/G15)-1</f>
        <v>0.13546341913527793</v>
      </c>
      <c r="M15" s="15"/>
      <c r="N15" s="16"/>
    </row>
    <row r="16" spans="1:14" ht="13.5" customHeight="1">
      <c r="A16" s="3">
        <v>12</v>
      </c>
      <c r="B16" s="3"/>
      <c r="C16" s="4" t="s">
        <v>46</v>
      </c>
      <c r="D16" s="10"/>
      <c r="E16" s="69">
        <f>'3.2 Efnah.'!M57</f>
        <v>20326818</v>
      </c>
      <c r="F16" s="17"/>
      <c r="G16" s="30">
        <f>+'3.1 Yfirlit '!M64</f>
        <v>17651901</v>
      </c>
      <c r="H16" s="16"/>
      <c r="I16" s="18">
        <f t="shared" si="0"/>
        <v>0.15153704974891946</v>
      </c>
      <c r="M16" s="15"/>
      <c r="N16" s="16"/>
    </row>
    <row r="17" spans="1:14" ht="13.5" customHeight="1">
      <c r="A17" s="3">
        <v>13</v>
      </c>
      <c r="B17" s="3"/>
      <c r="C17" s="4" t="s">
        <v>14</v>
      </c>
      <c r="D17" s="10"/>
      <c r="E17" s="69">
        <f>'3.2 Efnah.'!N57</f>
        <v>15675787</v>
      </c>
      <c r="F17" s="17"/>
      <c r="G17" s="30">
        <f>+'3.1 Yfirlit '!N64</f>
        <v>13242462</v>
      </c>
      <c r="H17" s="16"/>
      <c r="I17" s="18">
        <f t="shared" si="0"/>
        <v>0.18375170719764955</v>
      </c>
      <c r="M17" s="15"/>
      <c r="N17" s="16"/>
    </row>
    <row r="18" spans="1:14" ht="13.5" customHeight="1">
      <c r="A18" s="3">
        <v>14</v>
      </c>
      <c r="B18" s="3"/>
      <c r="C18" s="4" t="s">
        <v>21</v>
      </c>
      <c r="D18" s="10"/>
      <c r="E18" s="69">
        <f>'3.2 Efnah.'!O57</f>
        <v>15564174</v>
      </c>
      <c r="F18" s="17"/>
      <c r="G18" s="15">
        <f>+'3.1 Yfirlit '!O64</f>
        <v>13009801</v>
      </c>
      <c r="H18" s="16"/>
      <c r="I18" s="18">
        <f>(E18/G18)-1</f>
        <v>0.19634220385077383</v>
      </c>
      <c r="M18" s="15"/>
      <c r="N18" s="16"/>
    </row>
    <row r="19" spans="1:14" ht="13.5" customHeight="1">
      <c r="A19" s="3">
        <v>15</v>
      </c>
      <c r="B19" s="3"/>
      <c r="C19" s="4" t="s">
        <v>39</v>
      </c>
      <c r="D19" s="10"/>
      <c r="E19" s="69">
        <f>'3.2 Efnah.'!P57</f>
        <v>15200633</v>
      </c>
      <c r="F19" s="17"/>
      <c r="G19" s="69">
        <f>+'3.1 Yfirlit '!P64</f>
        <v>12906767</v>
      </c>
      <c r="H19" s="16"/>
      <c r="I19" s="18">
        <f t="shared" si="0"/>
        <v>0.1777258394762995</v>
      </c>
      <c r="M19" s="15"/>
      <c r="N19" s="16"/>
    </row>
    <row r="20" spans="1:14" ht="13.5" customHeight="1">
      <c r="A20" s="3">
        <v>16</v>
      </c>
      <c r="B20" s="3"/>
      <c r="C20" s="4" t="s">
        <v>37</v>
      </c>
      <c r="D20" s="10"/>
      <c r="E20" s="69">
        <f>'3.2 Efnah.'!Q57</f>
        <v>14746695</v>
      </c>
      <c r="F20" s="17"/>
      <c r="G20" s="15">
        <f>+'3.1 Yfirlit '!Q64</f>
        <v>12011905</v>
      </c>
      <c r="H20" s="16"/>
      <c r="I20" s="18">
        <f t="shared" si="0"/>
        <v>0.22767329578447382</v>
      </c>
      <c r="M20" s="15"/>
      <c r="N20" s="16"/>
    </row>
    <row r="21" spans="1:14" ht="13.5" customHeight="1">
      <c r="A21" s="3">
        <v>17</v>
      </c>
      <c r="B21" s="3"/>
      <c r="C21" s="4" t="s">
        <v>35</v>
      </c>
      <c r="D21" s="10"/>
      <c r="E21" s="69">
        <f>'3.2 Efnah.'!R57</f>
        <v>13717390</v>
      </c>
      <c r="F21" s="17"/>
      <c r="G21" s="15">
        <f>+'3.1 Yfirlit '!R64</f>
        <v>11770635</v>
      </c>
      <c r="H21" s="16"/>
      <c r="I21" s="18">
        <f>(E21/G21)-1</f>
        <v>0.16539082216040168</v>
      </c>
      <c r="M21" s="15"/>
      <c r="N21" s="16"/>
    </row>
    <row r="22" spans="1:14" ht="13.5" customHeight="1">
      <c r="A22" s="3">
        <v>18</v>
      </c>
      <c r="B22" s="3"/>
      <c r="C22" s="4" t="s">
        <v>20</v>
      </c>
      <c r="D22" s="10" t="s">
        <v>54</v>
      </c>
      <c r="E22" s="69">
        <f>'3.2 Efnah.'!S57</f>
        <v>12937557</v>
      </c>
      <c r="F22" s="17"/>
      <c r="G22" s="15">
        <f>+'3.1 Yfirlit '!S64</f>
        <v>10495948</v>
      </c>
      <c r="H22" s="16"/>
      <c r="I22" s="18">
        <f>(E22/G22)-1</f>
        <v>0.2326239611705394</v>
      </c>
      <c r="M22" s="15"/>
      <c r="N22" s="16"/>
    </row>
    <row r="23" spans="1:14" ht="13.5" customHeight="1">
      <c r="A23" s="3">
        <v>19</v>
      </c>
      <c r="B23" s="3"/>
      <c r="C23" s="4" t="s">
        <v>40</v>
      </c>
      <c r="D23" s="10"/>
      <c r="E23" s="69">
        <f>'3.2 Efnah.'!T57</f>
        <v>12922345</v>
      </c>
      <c r="F23" s="17"/>
      <c r="G23" s="15">
        <f>+'3.1 Yfirlit '!T64</f>
        <v>11356951</v>
      </c>
      <c r="H23" s="16"/>
      <c r="I23" s="18">
        <f t="shared" si="0"/>
        <v>0.1378357624330686</v>
      </c>
      <c r="M23" s="15"/>
      <c r="N23" s="16"/>
    </row>
    <row r="24" spans="1:14" ht="13.5" customHeight="1">
      <c r="A24" s="3">
        <v>20</v>
      </c>
      <c r="B24" s="3"/>
      <c r="C24" s="4" t="s">
        <v>17</v>
      </c>
      <c r="D24" s="10"/>
      <c r="E24" s="69">
        <f>'3.2 Efnah.'!U57</f>
        <v>12696730.471</v>
      </c>
      <c r="F24" s="17"/>
      <c r="G24" s="15">
        <f>+'3.1 Yfirlit '!U64</f>
        <v>11387963.72125</v>
      </c>
      <c r="H24" s="16"/>
      <c r="I24" s="65">
        <f>(E24/G24)-1</f>
        <v>0.11492544073597943</v>
      </c>
      <c r="M24" s="15"/>
      <c r="N24" s="16"/>
    </row>
    <row r="25" spans="1:14" ht="13.5" customHeight="1">
      <c r="A25" s="3">
        <v>21</v>
      </c>
      <c r="B25" s="3"/>
      <c r="C25" s="4" t="s">
        <v>31</v>
      </c>
      <c r="D25" s="10" t="s">
        <v>54</v>
      </c>
      <c r="E25" s="69">
        <f>'3.2 Efnah.'!V57</f>
        <v>10044471</v>
      </c>
      <c r="F25" s="17"/>
      <c r="G25" s="15">
        <f>+'3.1 Yfirlit '!V64</f>
        <v>3549916</v>
      </c>
      <c r="H25" s="16"/>
      <c r="I25" s="65">
        <f>(E25/G25)-1</f>
        <v>1.829495402144727</v>
      </c>
      <c r="M25" s="15"/>
      <c r="N25" s="16"/>
    </row>
    <row r="26" spans="1:14" ht="13.5" customHeight="1">
      <c r="A26" s="3">
        <v>22</v>
      </c>
      <c r="B26" s="3"/>
      <c r="C26" s="4" t="s">
        <v>41</v>
      </c>
      <c r="D26" s="10"/>
      <c r="E26" s="69">
        <f>'3.2 Efnah.'!W57</f>
        <v>9583301</v>
      </c>
      <c r="F26" s="17"/>
      <c r="G26" s="15">
        <f>+'3.1 Yfirlit '!W64</f>
        <v>8261145</v>
      </c>
      <c r="H26" s="16"/>
      <c r="I26" s="18">
        <f t="shared" si="0"/>
        <v>0.16004512691642625</v>
      </c>
      <c r="M26" s="15"/>
      <c r="N26" s="16"/>
    </row>
    <row r="27" spans="1:14" ht="13.5" customHeight="1">
      <c r="A27" s="3">
        <v>23</v>
      </c>
      <c r="B27" s="3"/>
      <c r="C27" s="4" t="s">
        <v>5</v>
      </c>
      <c r="D27" s="10"/>
      <c r="E27" s="69">
        <f>'3.2 Efnah.'!X57</f>
        <v>9026776</v>
      </c>
      <c r="F27" s="17"/>
      <c r="G27" s="15">
        <f>+'3.1 Yfirlit '!X64</f>
        <v>7820199</v>
      </c>
      <c r="H27" s="16"/>
      <c r="I27" s="18">
        <f t="shared" si="0"/>
        <v>0.15428980771461176</v>
      </c>
      <c r="M27" s="15"/>
      <c r="N27" s="16"/>
    </row>
    <row r="28" spans="1:14" ht="13.5" customHeight="1">
      <c r="A28" s="3">
        <v>24</v>
      </c>
      <c r="B28" s="3"/>
      <c r="C28" s="4" t="s">
        <v>11</v>
      </c>
      <c r="D28" s="10"/>
      <c r="E28" s="69">
        <f>'3.2 Efnah.'!Y57</f>
        <v>7745837.499000001</v>
      </c>
      <c r="F28" s="17"/>
      <c r="G28" s="15">
        <f>+'3.1 Yfirlit '!Y64</f>
        <v>5928452.043</v>
      </c>
      <c r="H28" s="16"/>
      <c r="I28" s="18">
        <f>(E28/G28)-1</f>
        <v>0.3065531175453926</v>
      </c>
      <c r="M28" s="15"/>
      <c r="N28" s="16"/>
    </row>
    <row r="29" spans="1:14" ht="13.5" customHeight="1">
      <c r="A29" s="3">
        <v>25</v>
      </c>
      <c r="B29" s="3"/>
      <c r="C29" s="6" t="s">
        <v>33</v>
      </c>
      <c r="D29" s="19" t="s">
        <v>556</v>
      </c>
      <c r="E29" s="69">
        <f>'3.2 Efnah.'!Z57</f>
        <v>7629767</v>
      </c>
      <c r="F29" s="16"/>
      <c r="G29" s="15">
        <f>+'3.1 Yfirlit '!Z64</f>
        <v>4830218</v>
      </c>
      <c r="H29" s="16"/>
      <c r="I29" s="18">
        <f>(E29/G29)-1</f>
        <v>0.5795906106101216</v>
      </c>
      <c r="M29" s="15"/>
      <c r="N29" s="16"/>
    </row>
    <row r="30" spans="1:14" ht="13.5" customHeight="1">
      <c r="A30" s="3">
        <v>26</v>
      </c>
      <c r="B30" s="3"/>
      <c r="C30" s="4" t="s">
        <v>28</v>
      </c>
      <c r="D30" s="10"/>
      <c r="E30" s="15">
        <f>'3.2 Efnah.'!AA57</f>
        <v>7502572</v>
      </c>
      <c r="F30" s="17"/>
      <c r="G30" s="15">
        <f>+'3.1 Yfirlit '!AA64</f>
        <v>6712216</v>
      </c>
      <c r="H30" s="16"/>
      <c r="I30" s="18">
        <f>(E30/G30)-1</f>
        <v>0.11774889246710774</v>
      </c>
      <c r="M30" s="15"/>
      <c r="N30" s="16"/>
    </row>
    <row r="31" spans="1:14" ht="13.5" customHeight="1">
      <c r="A31" s="3">
        <v>27</v>
      </c>
      <c r="B31" s="3"/>
      <c r="C31" s="4" t="s">
        <v>34</v>
      </c>
      <c r="D31" s="10"/>
      <c r="E31" s="15">
        <f>'3.2 Efnah.'!AB57</f>
        <v>6409499</v>
      </c>
      <c r="F31" s="17"/>
      <c r="G31" s="15">
        <f>+'3.1 Yfirlit '!AB64</f>
        <v>5461015</v>
      </c>
      <c r="H31" s="16"/>
      <c r="I31" s="18">
        <f t="shared" si="0"/>
        <v>0.1736827311406397</v>
      </c>
      <c r="M31" s="15"/>
      <c r="N31" s="16"/>
    </row>
    <row r="32" spans="1:14" ht="13.5" customHeight="1">
      <c r="A32" s="3">
        <v>28</v>
      </c>
      <c r="B32" s="3"/>
      <c r="C32" s="6" t="s">
        <v>47</v>
      </c>
      <c r="E32" s="15">
        <f>'3.2 Efnah.'!AC57</f>
        <v>5495503.65</v>
      </c>
      <c r="F32" s="16"/>
      <c r="G32" s="15">
        <f>+'3.1 Yfirlit '!AC64</f>
        <v>3747214.9329999997</v>
      </c>
      <c r="H32" s="16"/>
      <c r="I32" s="18">
        <f>(E32/G32)-1</f>
        <v>0.4665568290742079</v>
      </c>
      <c r="M32" s="15"/>
      <c r="N32" s="16"/>
    </row>
    <row r="33" spans="1:14" ht="13.5" customHeight="1">
      <c r="A33" s="3">
        <v>29</v>
      </c>
      <c r="B33" s="3"/>
      <c r="C33" s="4" t="s">
        <v>4</v>
      </c>
      <c r="D33" s="10" t="s">
        <v>60</v>
      </c>
      <c r="E33" s="15">
        <f>'3.2 Efnah.'!AD57</f>
        <v>3247975</v>
      </c>
      <c r="F33" s="17"/>
      <c r="G33" s="15">
        <f>+'3.1 Yfirlit '!AD64</f>
        <v>2711576</v>
      </c>
      <c r="H33" s="16"/>
      <c r="I33" s="18">
        <f t="shared" si="0"/>
        <v>0.19781816921229578</v>
      </c>
      <c r="M33" s="15"/>
      <c r="N33" s="16"/>
    </row>
    <row r="34" spans="1:14" ht="13.5" customHeight="1">
      <c r="A34" s="3">
        <v>30</v>
      </c>
      <c r="B34" s="3"/>
      <c r="C34" s="4" t="s">
        <v>18</v>
      </c>
      <c r="D34" s="10" t="s">
        <v>55</v>
      </c>
      <c r="E34" s="15">
        <f>'3.2 Efnah.'!AE57</f>
        <v>2728172</v>
      </c>
      <c r="F34" s="17"/>
      <c r="G34" s="15">
        <f>+'3.1 Yfirlit '!AE64</f>
        <v>2626241</v>
      </c>
      <c r="H34" s="16"/>
      <c r="I34" s="18">
        <f t="shared" si="0"/>
        <v>0.03881250806761449</v>
      </c>
      <c r="M34" s="15"/>
      <c r="N34" s="16"/>
    </row>
    <row r="35" spans="1:14" ht="13.5" customHeight="1">
      <c r="A35" s="3">
        <v>31</v>
      </c>
      <c r="B35" s="3"/>
      <c r="C35" s="4" t="s">
        <v>25</v>
      </c>
      <c r="D35" s="10"/>
      <c r="E35" s="15">
        <f>'3.2 Efnah.'!AF57</f>
        <v>2679858</v>
      </c>
      <c r="F35" s="17"/>
      <c r="G35" s="15">
        <f>+'3.1 Yfirlit '!AF64</f>
        <v>2385923</v>
      </c>
      <c r="H35" s="16"/>
      <c r="I35" s="18">
        <f t="shared" si="0"/>
        <v>0.12319550966229831</v>
      </c>
      <c r="M35" s="15"/>
      <c r="N35" s="16"/>
    </row>
    <row r="36" spans="1:14" ht="13.5" customHeight="1">
      <c r="A36" s="3">
        <v>32</v>
      </c>
      <c r="B36" s="3"/>
      <c r="C36" s="4" t="s">
        <v>16</v>
      </c>
      <c r="D36" s="10"/>
      <c r="E36" s="15">
        <f>'3.2 Efnah.'!AG57</f>
        <v>2279171</v>
      </c>
      <c r="F36" s="17"/>
      <c r="G36" s="15">
        <f>+'3.1 Yfirlit '!AG64</f>
        <v>2003247</v>
      </c>
      <c r="H36" s="16"/>
      <c r="I36" s="18">
        <f>(E36/G36)-1</f>
        <v>0.1377383817372495</v>
      </c>
      <c r="M36" s="15"/>
      <c r="N36" s="16"/>
    </row>
    <row r="37" spans="1:14" ht="13.5" customHeight="1">
      <c r="A37" s="3">
        <v>33</v>
      </c>
      <c r="B37" s="3"/>
      <c r="C37" s="4" t="s">
        <v>19</v>
      </c>
      <c r="D37" s="10" t="s">
        <v>56</v>
      </c>
      <c r="E37" s="15">
        <f>'3.2 Efnah.'!AH57</f>
        <v>2250869</v>
      </c>
      <c r="F37" s="17"/>
      <c r="G37" s="15">
        <f>+'3.1 Yfirlit '!AH64</f>
        <v>2108793</v>
      </c>
      <c r="H37" s="16"/>
      <c r="I37" s="18">
        <f t="shared" si="0"/>
        <v>0.06737313714527704</v>
      </c>
      <c r="M37" s="15"/>
      <c r="N37" s="16"/>
    </row>
    <row r="38" spans="1:14" ht="13.5" customHeight="1">
      <c r="A38" s="3">
        <v>34</v>
      </c>
      <c r="B38" s="3"/>
      <c r="C38" s="4" t="s">
        <v>396</v>
      </c>
      <c r="D38" s="10" t="s">
        <v>54</v>
      </c>
      <c r="E38" s="15">
        <f>'3.2 Efnah.'!AI57</f>
        <v>1601449</v>
      </c>
      <c r="F38" s="17"/>
      <c r="G38" s="15">
        <f>+'3.1 Yfirlit '!AI64</f>
        <v>1408019</v>
      </c>
      <c r="H38" s="16"/>
      <c r="I38" s="18">
        <f aca="true" t="shared" si="1" ref="I38:I55">(E38/G38)-1</f>
        <v>0.1373774075491878</v>
      </c>
      <c r="M38" s="15"/>
      <c r="N38" s="16"/>
    </row>
    <row r="39" spans="1:14" ht="13.5" customHeight="1">
      <c r="A39" s="3">
        <v>35</v>
      </c>
      <c r="B39" s="3"/>
      <c r="C39" s="6" t="s">
        <v>36</v>
      </c>
      <c r="E39" s="15">
        <f>+'3.2 Efnah.'!AJ57</f>
        <v>1585889</v>
      </c>
      <c r="F39" s="16"/>
      <c r="G39" s="15">
        <f>+'3.1 Yfirlit '!AJ64</f>
        <v>1319620</v>
      </c>
      <c r="H39" s="16"/>
      <c r="I39" s="18">
        <f>(E39/G39)-1</f>
        <v>0.20177702671981335</v>
      </c>
      <c r="M39" s="15"/>
      <c r="N39" s="16"/>
    </row>
    <row r="40" spans="1:14" ht="13.5" customHeight="1">
      <c r="A40" s="3">
        <v>36</v>
      </c>
      <c r="B40" s="3"/>
      <c r="C40" s="6" t="s">
        <v>3</v>
      </c>
      <c r="D40" s="19" t="s">
        <v>54</v>
      </c>
      <c r="E40" s="15">
        <f>'3.2 Efnah.'!AK57</f>
        <v>1475470</v>
      </c>
      <c r="F40" s="16"/>
      <c r="G40" s="15">
        <f>+'3.1 Yfirlit '!AK64</f>
        <v>1308119</v>
      </c>
      <c r="H40" s="16"/>
      <c r="I40" s="18">
        <f t="shared" si="1"/>
        <v>0.12793255047897012</v>
      </c>
      <c r="M40" s="15"/>
      <c r="N40" s="16"/>
    </row>
    <row r="41" spans="1:14" ht="13.5" customHeight="1">
      <c r="A41" s="3">
        <v>37</v>
      </c>
      <c r="B41" s="3"/>
      <c r="C41" s="4" t="s">
        <v>2</v>
      </c>
      <c r="D41" s="10" t="s">
        <v>56</v>
      </c>
      <c r="E41" s="15">
        <f>'3.2 Efnah.'!AL57</f>
        <v>1417801.8380000002</v>
      </c>
      <c r="F41" s="17"/>
      <c r="G41" s="15">
        <f>+'3.1 Yfirlit '!AL64</f>
        <v>1345421.409</v>
      </c>
      <c r="H41" s="16"/>
      <c r="I41" s="18">
        <f>(E41/G41)-1</f>
        <v>0.05379758974832871</v>
      </c>
      <c r="M41" s="15"/>
      <c r="N41" s="16"/>
    </row>
    <row r="42" spans="1:14" ht="13.5" customHeight="1">
      <c r="A42" s="3">
        <v>38</v>
      </c>
      <c r="B42" s="3"/>
      <c r="C42" s="6" t="s">
        <v>22</v>
      </c>
      <c r="D42" s="19" t="s">
        <v>56</v>
      </c>
      <c r="E42" s="15">
        <f>'3.2 Efnah.'!AM57</f>
        <v>1368427</v>
      </c>
      <c r="F42" s="16"/>
      <c r="G42" s="15">
        <f>+'3.1 Yfirlit '!AM64</f>
        <v>1250537</v>
      </c>
      <c r="H42" s="16"/>
      <c r="I42" s="18">
        <f t="shared" si="1"/>
        <v>0.09427150096318626</v>
      </c>
      <c r="M42" s="15"/>
      <c r="N42" s="16"/>
    </row>
    <row r="43" spans="1:14" ht="13.5" customHeight="1">
      <c r="A43" s="3">
        <v>39</v>
      </c>
      <c r="B43" s="3"/>
      <c r="C43" s="6" t="s">
        <v>27</v>
      </c>
      <c r="D43" s="19" t="s">
        <v>54</v>
      </c>
      <c r="E43" s="15">
        <f>'3.2 Efnah.'!AN57</f>
        <v>1182750</v>
      </c>
      <c r="F43" s="16"/>
      <c r="G43" s="15">
        <f>+'3.1 Yfirlit '!AN64</f>
        <v>1102855</v>
      </c>
      <c r="H43" s="16"/>
      <c r="I43" s="18">
        <f t="shared" si="1"/>
        <v>0.07244379360840725</v>
      </c>
      <c r="M43" s="15"/>
      <c r="N43" s="16"/>
    </row>
    <row r="44" spans="1:14" ht="13.5" customHeight="1">
      <c r="A44" s="3">
        <v>40</v>
      </c>
      <c r="B44" s="3"/>
      <c r="C44" s="6" t="s">
        <v>13</v>
      </c>
      <c r="D44" s="19" t="s">
        <v>54</v>
      </c>
      <c r="E44" s="15">
        <f>'3.2 Efnah.'!AO57</f>
        <v>885206</v>
      </c>
      <c r="F44" s="16"/>
      <c r="G44" s="15">
        <f>+'3.1 Yfirlit '!AO64</f>
        <v>795607</v>
      </c>
      <c r="H44" s="16"/>
      <c r="I44" s="18">
        <f t="shared" si="1"/>
        <v>0.11261715897421709</v>
      </c>
      <c r="M44" s="15"/>
      <c r="N44" s="16"/>
    </row>
    <row r="45" spans="1:14" ht="13.5" customHeight="1">
      <c r="A45" s="3">
        <v>41</v>
      </c>
      <c r="B45" s="3"/>
      <c r="C45" s="6" t="s">
        <v>9</v>
      </c>
      <c r="D45" s="19" t="s">
        <v>56</v>
      </c>
      <c r="E45" s="15">
        <f>'3.2 Efnah.'!AP57</f>
        <v>665253</v>
      </c>
      <c r="F45" s="16"/>
      <c r="G45" s="15">
        <f>+'3.1 Yfirlit '!AP64</f>
        <v>630416</v>
      </c>
      <c r="H45" s="16"/>
      <c r="I45" s="18">
        <f t="shared" si="1"/>
        <v>0.05526033603208047</v>
      </c>
      <c r="M45" s="15"/>
      <c r="N45" s="16"/>
    </row>
    <row r="46" spans="1:14" ht="13.5" customHeight="1">
      <c r="A46" s="3">
        <v>42</v>
      </c>
      <c r="B46" s="3"/>
      <c r="C46" s="6" t="s">
        <v>7</v>
      </c>
      <c r="D46" s="19" t="s">
        <v>56</v>
      </c>
      <c r="E46" s="15">
        <f>'3.2 Efnah.'!AQ57</f>
        <v>595106</v>
      </c>
      <c r="F46" s="16"/>
      <c r="G46" s="15">
        <f>+'3.1 Yfirlit '!AQ64</f>
        <v>580018</v>
      </c>
      <c r="H46" s="16"/>
      <c r="I46" s="18">
        <f t="shared" si="1"/>
        <v>0.02601298580388889</v>
      </c>
      <c r="M46" s="15"/>
      <c r="N46" s="16"/>
    </row>
    <row r="47" spans="1:14" ht="13.5" customHeight="1">
      <c r="A47" s="3">
        <v>43</v>
      </c>
      <c r="B47" s="3"/>
      <c r="C47" s="6" t="s">
        <v>6</v>
      </c>
      <c r="D47" s="19" t="s">
        <v>54</v>
      </c>
      <c r="E47" s="15">
        <f>'3.2 Efnah.'!AR57</f>
        <v>550918</v>
      </c>
      <c r="F47" s="16"/>
      <c r="G47" s="15">
        <f>+'3.1 Yfirlit '!AR64</f>
        <v>493543</v>
      </c>
      <c r="H47" s="16"/>
      <c r="I47" s="18">
        <f t="shared" si="1"/>
        <v>0.11625126888639903</v>
      </c>
      <c r="M47" s="15"/>
      <c r="N47" s="16"/>
    </row>
    <row r="48" spans="1:14" ht="13.5" customHeight="1">
      <c r="A48" s="3">
        <v>44</v>
      </c>
      <c r="B48" s="3"/>
      <c r="C48" s="6" t="s">
        <v>12</v>
      </c>
      <c r="D48" s="19" t="s">
        <v>56</v>
      </c>
      <c r="E48" s="15">
        <f>'3.2 Efnah.'!AS57</f>
        <v>486957</v>
      </c>
      <c r="F48" s="16"/>
      <c r="G48" s="15">
        <f>+'3.1 Yfirlit '!AS64</f>
        <v>469999</v>
      </c>
      <c r="H48" s="16"/>
      <c r="I48" s="18">
        <f t="shared" si="1"/>
        <v>0.03608092783176131</v>
      </c>
      <c r="M48" s="15"/>
      <c r="N48" s="16"/>
    </row>
    <row r="49" spans="1:14" ht="13.5" customHeight="1">
      <c r="A49" s="3">
        <v>45</v>
      </c>
      <c r="B49" s="3"/>
      <c r="C49" s="6" t="s">
        <v>44</v>
      </c>
      <c r="D49" s="19" t="s">
        <v>56</v>
      </c>
      <c r="E49" s="15">
        <f>'3.2 Efnah.'!AT57</f>
        <v>452728.273</v>
      </c>
      <c r="F49" s="16"/>
      <c r="G49" s="15">
        <f>+'3.1 Yfirlit '!AT64</f>
        <v>446348.91</v>
      </c>
      <c r="H49" s="16"/>
      <c r="I49" s="18">
        <f t="shared" si="1"/>
        <v>0.014292323465066925</v>
      </c>
      <c r="M49" s="15"/>
      <c r="N49" s="16"/>
    </row>
    <row r="50" spans="1:14" ht="13.5" customHeight="1">
      <c r="A50" s="3">
        <v>46</v>
      </c>
      <c r="B50" s="3"/>
      <c r="C50" s="6" t="s">
        <v>562</v>
      </c>
      <c r="D50" s="19" t="s">
        <v>54</v>
      </c>
      <c r="E50" s="15">
        <f>'3.2 Efnah.'!AU57</f>
        <v>366418</v>
      </c>
      <c r="F50" s="16"/>
      <c r="G50" s="15">
        <f>+'3.1 Yfirlit '!AU64</f>
        <v>343673</v>
      </c>
      <c r="H50" s="16"/>
      <c r="I50" s="18">
        <f t="shared" si="1"/>
        <v>0.06618209751711657</v>
      </c>
      <c r="M50" s="15"/>
      <c r="N50" s="16"/>
    </row>
    <row r="51" spans="1:14" ht="13.5" customHeight="1">
      <c r="A51" s="3">
        <v>47</v>
      </c>
      <c r="B51" s="3"/>
      <c r="C51" s="6" t="s">
        <v>23</v>
      </c>
      <c r="D51" s="19" t="s">
        <v>54</v>
      </c>
      <c r="E51" s="15">
        <f>'3.2 Efnah.'!AV57</f>
        <v>195390</v>
      </c>
      <c r="F51" s="16"/>
      <c r="G51" s="15">
        <f>+'3.1 Yfirlit '!AV64</f>
        <v>186416</v>
      </c>
      <c r="H51" s="16"/>
      <c r="I51" s="18">
        <f t="shared" si="1"/>
        <v>0.04813964466569387</v>
      </c>
      <c r="M51" s="15"/>
      <c r="N51" s="16"/>
    </row>
    <row r="52" spans="1:14" ht="13.5" customHeight="1">
      <c r="A52" s="3">
        <v>48</v>
      </c>
      <c r="B52" s="3"/>
      <c r="C52" s="6" t="s">
        <v>8</v>
      </c>
      <c r="D52" s="19" t="s">
        <v>60</v>
      </c>
      <c r="E52" s="15">
        <f>'3.2 Efnah.'!AW57</f>
        <v>97770</v>
      </c>
      <c r="F52" s="16"/>
      <c r="G52" s="15">
        <f>+'3.1 Yfirlit '!AW64</f>
        <v>104163</v>
      </c>
      <c r="H52" s="16"/>
      <c r="I52" s="18">
        <f t="shared" si="1"/>
        <v>-0.061374960398606015</v>
      </c>
      <c r="M52" s="15"/>
      <c r="N52" s="16"/>
    </row>
    <row r="53" spans="1:14" ht="13.5" customHeight="1">
      <c r="A53" s="3">
        <v>49</v>
      </c>
      <c r="B53" s="3"/>
      <c r="C53" s="6" t="s">
        <v>30</v>
      </c>
      <c r="D53" s="19" t="s">
        <v>54</v>
      </c>
      <c r="E53" s="15">
        <f>'3.2 Efnah.'!AX57</f>
        <v>13903.926</v>
      </c>
      <c r="F53" s="16"/>
      <c r="G53" s="15">
        <f>+'3.1 Yfirlit '!AX64</f>
        <v>39838.294</v>
      </c>
      <c r="H53" s="16"/>
      <c r="I53" s="18">
        <f t="shared" si="1"/>
        <v>-0.6509909284770077</v>
      </c>
      <c r="M53" s="15"/>
      <c r="N53" s="16"/>
    </row>
    <row r="54" spans="1:14" ht="13.5" customHeight="1">
      <c r="A54" s="3">
        <v>50</v>
      </c>
      <c r="B54" s="3"/>
      <c r="C54" s="6" t="s">
        <v>29</v>
      </c>
      <c r="D54" s="19" t="s">
        <v>56</v>
      </c>
      <c r="E54" s="21">
        <f>'3.2 Efnah.'!AY57</f>
        <v>8344</v>
      </c>
      <c r="F54" s="22"/>
      <c r="G54" s="21">
        <f>+'3.1 Yfirlit '!AY64</f>
        <v>8860.849</v>
      </c>
      <c r="H54" s="22"/>
      <c r="I54" s="18">
        <f t="shared" si="1"/>
        <v>-0.0583295122171702</v>
      </c>
      <c r="M54" s="15"/>
      <c r="N54" s="16"/>
    </row>
    <row r="55" spans="1:13" ht="15.75" customHeight="1">
      <c r="A55" s="6"/>
      <c r="B55" s="3"/>
      <c r="C55" s="23" t="s">
        <v>61</v>
      </c>
      <c r="E55" s="15">
        <f>SUM(E5:E54)</f>
        <v>823977366.0799999</v>
      </c>
      <c r="F55" s="15"/>
      <c r="G55" s="15">
        <f>SUM(G5:G54)</f>
        <v>678925585.86325</v>
      </c>
      <c r="H55" s="16"/>
      <c r="I55" s="18">
        <f t="shared" si="1"/>
        <v>0.21364901137481418</v>
      </c>
      <c r="M55" s="15"/>
    </row>
    <row r="56" ht="4.5" customHeight="1"/>
    <row r="57" ht="12.75">
      <c r="C57" s="361" t="s">
        <v>57</v>
      </c>
    </row>
    <row r="58" spans="3:9" ht="12.75" customHeight="1">
      <c r="C58" s="362" t="s">
        <v>58</v>
      </c>
      <c r="I58" s="24"/>
    </row>
    <row r="59" spans="3:9" ht="12.75" customHeight="1">
      <c r="C59" s="362" t="s">
        <v>508</v>
      </c>
      <c r="I59" s="24"/>
    </row>
    <row r="60" spans="3:9" ht="12.75" customHeight="1">
      <c r="C60" s="362" t="s">
        <v>555</v>
      </c>
      <c r="I60" s="24"/>
    </row>
    <row r="61" ht="12.75">
      <c r="C61" s="362" t="s">
        <v>557</v>
      </c>
    </row>
    <row r="62" ht="12.75">
      <c r="E62" s="177"/>
    </row>
  </sheetData>
  <sheetProtection/>
  <printOptions/>
  <pageMargins left="0.4330708661417323" right="0.31496062992125984" top="0.55" bottom="0" header="0.25" footer="0.17"/>
  <pageSetup firstPageNumber="7" useFirstPageNumber="1" horizontalDpi="600" verticalDpi="600" orientation="portrait" paperSize="9" r:id="rId1"/>
  <headerFooter alignWithMargins="0">
    <oddHeader>&amp;C&amp;"Times New Roman,Bold"&amp;14 2.2. YFIRLIT YFIR LÍFEYRISSJÓÐI Í STÆRÐARRÖÐ 31.12.2003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1" sqref="C51"/>
    </sheetView>
  </sheetViews>
  <sheetFormatPr defaultColWidth="9.140625" defaultRowHeight="12.75"/>
  <cols>
    <col min="1" max="1" width="2.7109375" style="17" customWidth="1"/>
    <col min="2" max="2" width="2.28125" style="17" customWidth="1"/>
    <col min="3" max="3" width="38.8515625" style="17" bestFit="1" customWidth="1"/>
    <col min="4" max="4" width="10.57421875" style="17" customWidth="1"/>
    <col min="5" max="8" width="10.421875" style="17" customWidth="1"/>
    <col min="9" max="9" width="9.140625" style="17" customWidth="1"/>
    <col min="10" max="10" width="12.421875" style="17" bestFit="1" customWidth="1"/>
    <col min="11" max="16384" width="9.140625" style="17" customWidth="1"/>
  </cols>
  <sheetData>
    <row r="1" spans="5:8" ht="12" customHeight="1">
      <c r="E1" s="368" t="s">
        <v>474</v>
      </c>
      <c r="F1" s="368"/>
      <c r="G1" s="368"/>
      <c r="H1" s="72" t="s">
        <v>67</v>
      </c>
    </row>
    <row r="2" spans="1:7" ht="12" customHeight="1">
      <c r="A2" s="3"/>
      <c r="B2" s="3"/>
      <c r="C2" s="4"/>
      <c r="D2" s="73" t="s">
        <v>49</v>
      </c>
      <c r="E2" s="72" t="s">
        <v>65</v>
      </c>
      <c r="F2" s="72" t="s">
        <v>62</v>
      </c>
      <c r="G2" s="72" t="s">
        <v>63</v>
      </c>
    </row>
    <row r="3" spans="1:8" ht="12.75">
      <c r="A3" s="3"/>
      <c r="B3" s="3"/>
      <c r="C3" s="4" t="s">
        <v>64</v>
      </c>
      <c r="D3" s="72" t="s">
        <v>496</v>
      </c>
      <c r="E3" s="74"/>
      <c r="F3" s="72" t="s">
        <v>66</v>
      </c>
      <c r="G3" s="72" t="s">
        <v>66</v>
      </c>
      <c r="H3" s="74"/>
    </row>
    <row r="4" spans="1:8" ht="5.25" customHeight="1">
      <c r="A4" s="3"/>
      <c r="B4" s="3"/>
      <c r="C4" s="4"/>
      <c r="D4" s="15"/>
      <c r="E4" s="15"/>
      <c r="F4" s="15"/>
      <c r="G4" s="15"/>
      <c r="H4" s="15"/>
    </row>
    <row r="5" spans="1:8" s="26" customFormat="1" ht="12" customHeight="1">
      <c r="A5" s="3">
        <v>1</v>
      </c>
      <c r="B5" s="3"/>
      <c r="C5" s="4" t="s">
        <v>32</v>
      </c>
      <c r="D5" s="25">
        <f>'2.2 Listi'!E5</f>
        <v>146257598</v>
      </c>
      <c r="E5" s="25">
        <f aca="true" t="shared" si="0" ref="E5:E37">+D5-F5-G5-H5</f>
        <v>35714711</v>
      </c>
      <c r="F5" s="25">
        <f>+'4.1. Samtryggingard.'!B65</f>
        <v>108217150</v>
      </c>
      <c r="G5" s="25"/>
      <c r="H5" s="25">
        <f>+'5.1. Séreignard.'!B121+'5.1. Séreignard.'!C121+'5.1. Séreignard.'!D121</f>
        <v>2325737</v>
      </c>
    </row>
    <row r="6" spans="1:8" s="26" customFormat="1" ht="12" customHeight="1">
      <c r="A6" s="3">
        <v>2</v>
      </c>
      <c r="B6" s="3"/>
      <c r="C6" s="4" t="s">
        <v>38</v>
      </c>
      <c r="D6" s="25">
        <f>'2.2 Listi'!E6</f>
        <v>123657259</v>
      </c>
      <c r="E6" s="25">
        <f t="shared" si="0"/>
        <v>121734668</v>
      </c>
      <c r="F6" s="25"/>
      <c r="G6" s="25"/>
      <c r="H6" s="25">
        <f>+'5.1. Séreignard.'!E121</f>
        <v>1922591</v>
      </c>
    </row>
    <row r="7" spans="1:8" s="26" customFormat="1" ht="12" customHeight="1">
      <c r="A7" s="3">
        <v>3</v>
      </c>
      <c r="B7" s="3"/>
      <c r="C7" s="4" t="s">
        <v>42</v>
      </c>
      <c r="D7" s="25">
        <f>'2.2 Listi'!E7</f>
        <v>64122733</v>
      </c>
      <c r="E7" s="25">
        <f t="shared" si="0"/>
        <v>63478679</v>
      </c>
      <c r="F7" s="25"/>
      <c r="G7" s="25"/>
      <c r="H7" s="25">
        <f>+'5.1. Séreignard.'!F121+'5.1. Séreignard.'!G121</f>
        <v>644054</v>
      </c>
    </row>
    <row r="8" spans="1:10" s="26" customFormat="1" ht="12" customHeight="1">
      <c r="A8" s="3">
        <v>4</v>
      </c>
      <c r="B8" s="3"/>
      <c r="C8" s="4" t="s">
        <v>26</v>
      </c>
      <c r="D8" s="25">
        <f>'2.2 Listi'!E8</f>
        <v>56246990</v>
      </c>
      <c r="E8" s="25">
        <f t="shared" si="0"/>
        <v>56116687</v>
      </c>
      <c r="F8" s="25"/>
      <c r="G8" s="25"/>
      <c r="H8" s="39">
        <f>+'5.1. Séreignard.'!H66+'5.1. Séreignard.'!I66+'5.1. Séreignard.'!J66</f>
        <v>130303</v>
      </c>
      <c r="J8" s="171"/>
    </row>
    <row r="9" spans="1:8" s="26" customFormat="1" ht="12" customHeight="1">
      <c r="A9" s="3">
        <v>5</v>
      </c>
      <c r="B9" s="3"/>
      <c r="C9" s="4" t="s">
        <v>45</v>
      </c>
      <c r="D9" s="25">
        <f>'2.2 Listi'!E9</f>
        <v>52296137.423</v>
      </c>
      <c r="E9" s="25">
        <f t="shared" si="0"/>
        <v>50336551.423</v>
      </c>
      <c r="F9" s="25"/>
      <c r="G9" s="25">
        <f>+'4.1. Samtryggingard.'!J119</f>
        <v>910956</v>
      </c>
      <c r="H9" s="39">
        <f>+'5.1. Séreignard.'!K66+'5.1. Séreignard.'!L66</f>
        <v>1048630</v>
      </c>
    </row>
    <row r="10" spans="1:8" s="26" customFormat="1" ht="12" customHeight="1">
      <c r="A10" s="3">
        <v>6</v>
      </c>
      <c r="B10" s="3"/>
      <c r="C10" s="4" t="s">
        <v>24</v>
      </c>
      <c r="D10" s="25">
        <f>'2.2 Listi'!E10</f>
        <v>32411283</v>
      </c>
      <c r="E10" s="25">
        <f t="shared" si="0"/>
        <v>31698600</v>
      </c>
      <c r="F10" s="25"/>
      <c r="G10" s="25"/>
      <c r="H10" s="39">
        <f>+'5.1. Séreignard.'!M66+'5.1. Séreignard.'!N66</f>
        <v>712683</v>
      </c>
    </row>
    <row r="11" spans="1:8" s="26" customFormat="1" ht="12" customHeight="1">
      <c r="A11" s="3">
        <v>7</v>
      </c>
      <c r="B11" s="3"/>
      <c r="C11" s="4" t="s">
        <v>48</v>
      </c>
      <c r="D11" s="25">
        <f>'2.2 Listi'!E11</f>
        <v>28332337</v>
      </c>
      <c r="E11" s="25">
        <f t="shared" si="0"/>
        <v>28201604</v>
      </c>
      <c r="F11" s="25"/>
      <c r="G11" s="25"/>
      <c r="H11" s="39">
        <f>+'5.1. Séreignard.'!O66</f>
        <v>130733</v>
      </c>
    </row>
    <row r="12" spans="1:8" s="26" customFormat="1" ht="12" customHeight="1">
      <c r="A12" s="3">
        <v>8</v>
      </c>
      <c r="B12" s="3"/>
      <c r="C12" s="4" t="s">
        <v>507</v>
      </c>
      <c r="D12" s="25">
        <f>'2.2 Listi'!E12</f>
        <v>26174734</v>
      </c>
      <c r="E12" s="175">
        <f t="shared" si="0"/>
        <v>0</v>
      </c>
      <c r="F12" s="25"/>
      <c r="G12" s="25">
        <f>+'4.1. Samtryggingard.'!M119</f>
        <v>4918376</v>
      </c>
      <c r="H12" s="39">
        <f>+SUM('5.1. Séreignard.'!P66:S66)</f>
        <v>21256358</v>
      </c>
    </row>
    <row r="13" spans="1:8" s="26" customFormat="1" ht="12" customHeight="1">
      <c r="A13" s="3">
        <v>9</v>
      </c>
      <c r="B13" s="3"/>
      <c r="C13" s="4" t="s">
        <v>10</v>
      </c>
      <c r="D13" s="25">
        <f>'2.2 Listi'!E13</f>
        <v>25820127</v>
      </c>
      <c r="E13" s="175">
        <f t="shared" si="0"/>
        <v>0</v>
      </c>
      <c r="F13" s="25"/>
      <c r="G13" s="25">
        <f>+'4.1. Samtryggingard.'!N119</f>
        <v>3111215</v>
      </c>
      <c r="H13" s="39">
        <f>+SUM('5.1. Séreignard.'!T66:V66)</f>
        <v>22708912</v>
      </c>
    </row>
    <row r="14" spans="1:8" s="26" customFormat="1" ht="12" customHeight="1">
      <c r="A14" s="3">
        <v>10</v>
      </c>
      <c r="B14" s="3"/>
      <c r="C14" s="4" t="s">
        <v>43</v>
      </c>
      <c r="D14" s="25">
        <f>'2.2 Listi'!E14</f>
        <v>22826729</v>
      </c>
      <c r="E14" s="176">
        <f t="shared" si="0"/>
        <v>-1</v>
      </c>
      <c r="F14" s="25"/>
      <c r="G14" s="25">
        <f>+'4.1. Samtryggingard.'!O65</f>
        <v>22444732</v>
      </c>
      <c r="H14" s="39">
        <f>+SUM('5.1. Séreignard.'!W66:X66)</f>
        <v>381998</v>
      </c>
    </row>
    <row r="15" spans="1:8" s="26" customFormat="1" ht="12" customHeight="1">
      <c r="A15" s="3">
        <v>11</v>
      </c>
      <c r="B15" s="3"/>
      <c r="C15" s="4" t="s">
        <v>15</v>
      </c>
      <c r="D15" s="25">
        <f>'2.2 Listi'!E15</f>
        <v>22469756</v>
      </c>
      <c r="E15" s="25">
        <f t="shared" si="0"/>
        <v>4566409</v>
      </c>
      <c r="F15" s="25">
        <f>+'4.1. Samtryggingard.'!P119</f>
        <v>17903347</v>
      </c>
      <c r="G15" s="25"/>
      <c r="H15" s="39"/>
    </row>
    <row r="16" spans="1:8" s="26" customFormat="1" ht="12" customHeight="1">
      <c r="A16" s="3">
        <v>12</v>
      </c>
      <c r="B16" s="3"/>
      <c r="C16" s="4" t="s">
        <v>46</v>
      </c>
      <c r="D16" s="25">
        <f>'2.2 Listi'!E16</f>
        <v>20326818</v>
      </c>
      <c r="E16" s="25">
        <f t="shared" si="0"/>
        <v>17788948</v>
      </c>
      <c r="F16" s="25"/>
      <c r="G16" s="25">
        <f>+'4.1. Samtryggingard.'!S119</f>
        <v>1499043</v>
      </c>
      <c r="H16" s="39">
        <f>+'5.1. Séreignard.'!Y66</f>
        <v>1038827</v>
      </c>
    </row>
    <row r="17" spans="1:8" s="26" customFormat="1" ht="12" customHeight="1">
      <c r="A17" s="3">
        <v>13</v>
      </c>
      <c r="B17" s="3"/>
      <c r="C17" s="4" t="s">
        <v>14</v>
      </c>
      <c r="D17" s="25">
        <f>'2.2 Listi'!E17</f>
        <v>15675787</v>
      </c>
      <c r="E17" s="25">
        <f t="shared" si="0"/>
        <v>15645556</v>
      </c>
      <c r="F17" s="25"/>
      <c r="G17" s="25"/>
      <c r="H17" s="39">
        <f>+'5.1. Séreignard.'!Z66</f>
        <v>30231</v>
      </c>
    </row>
    <row r="18" spans="1:8" s="26" customFormat="1" ht="12" customHeight="1">
      <c r="A18" s="3">
        <v>14</v>
      </c>
      <c r="B18" s="3"/>
      <c r="C18" s="4" t="s">
        <v>21</v>
      </c>
      <c r="D18" s="25">
        <f>'2.2 Listi'!E18</f>
        <v>15564174</v>
      </c>
      <c r="E18" s="175">
        <f t="shared" si="0"/>
        <v>-111613</v>
      </c>
      <c r="F18" s="39"/>
      <c r="G18" s="39">
        <f>+'3.2 Efnah.'!N57</f>
        <v>15675787</v>
      </c>
      <c r="H18" s="39"/>
    </row>
    <row r="19" spans="1:8" s="26" customFormat="1" ht="12" customHeight="1">
      <c r="A19" s="3">
        <v>15</v>
      </c>
      <c r="B19" s="3"/>
      <c r="C19" s="4" t="s">
        <v>39</v>
      </c>
      <c r="D19" s="25">
        <f>'2.2 Listi'!E19</f>
        <v>15200633</v>
      </c>
      <c r="E19" s="25">
        <f t="shared" si="0"/>
        <v>15094261</v>
      </c>
      <c r="F19" s="25"/>
      <c r="G19" s="25"/>
      <c r="H19" s="39">
        <f>+'5.1. Séreignard.'!AA66</f>
        <v>106372</v>
      </c>
    </row>
    <row r="20" spans="1:8" s="26" customFormat="1" ht="12" customHeight="1">
      <c r="A20" s="3">
        <v>16</v>
      </c>
      <c r="B20" s="3"/>
      <c r="C20" s="4" t="s">
        <v>37</v>
      </c>
      <c r="D20" s="25">
        <f>'2.2 Listi'!E20</f>
        <v>14746695</v>
      </c>
      <c r="E20" s="175">
        <f t="shared" si="0"/>
        <v>0</v>
      </c>
      <c r="F20" s="39"/>
      <c r="G20" s="39">
        <f>+'4.1. Samtryggingard.'!X119</f>
        <v>14189732</v>
      </c>
      <c r="H20" s="39">
        <f>+'5.1. Séreignard.'!AB66</f>
        <v>556963</v>
      </c>
    </row>
    <row r="21" spans="1:8" s="26" customFormat="1" ht="12" customHeight="1">
      <c r="A21" s="3">
        <v>17</v>
      </c>
      <c r="B21" s="3"/>
      <c r="C21" s="4" t="s">
        <v>35</v>
      </c>
      <c r="D21" s="25">
        <f>'2.2 Listi'!E21</f>
        <v>13717390</v>
      </c>
      <c r="E21" s="25">
        <f t="shared" si="0"/>
        <v>13717390</v>
      </c>
      <c r="F21" s="25"/>
      <c r="G21" s="25"/>
      <c r="H21" s="39"/>
    </row>
    <row r="22" spans="1:8" s="26" customFormat="1" ht="12" customHeight="1">
      <c r="A22" s="3">
        <v>18</v>
      </c>
      <c r="B22" s="3"/>
      <c r="C22" s="4" t="s">
        <v>20</v>
      </c>
      <c r="D22" s="25">
        <f>'2.2 Listi'!E22</f>
        <v>12937557</v>
      </c>
      <c r="E22" s="175">
        <f t="shared" si="0"/>
        <v>0</v>
      </c>
      <c r="F22" s="25">
        <f>+'4.1. Samtryggingard.'!Z65</f>
        <v>12937557</v>
      </c>
      <c r="G22" s="25"/>
      <c r="H22" s="39"/>
    </row>
    <row r="23" spans="1:10" s="26" customFormat="1" ht="12" customHeight="1">
      <c r="A23" s="3">
        <v>19</v>
      </c>
      <c r="B23" s="3"/>
      <c r="C23" s="4" t="s">
        <v>40</v>
      </c>
      <c r="D23" s="25">
        <f>'2.2 Listi'!E23</f>
        <v>12922345</v>
      </c>
      <c r="E23" s="25">
        <f t="shared" si="0"/>
        <v>12863725</v>
      </c>
      <c r="F23" s="25"/>
      <c r="G23" s="25"/>
      <c r="H23" s="39">
        <f>+'5.1. Séreignard.'!AC66+'5.1. Séreignard.'!AD66</f>
        <v>58620</v>
      </c>
      <c r="J23" s="39"/>
    </row>
    <row r="24" spans="1:8" s="26" customFormat="1" ht="12" customHeight="1">
      <c r="A24" s="3">
        <v>20</v>
      </c>
      <c r="B24" s="3"/>
      <c r="C24" s="4" t="s">
        <v>17</v>
      </c>
      <c r="D24" s="25">
        <f>'2.2 Listi'!E24</f>
        <v>12696730.471</v>
      </c>
      <c r="E24" s="25">
        <f t="shared" si="0"/>
        <v>12696730.471</v>
      </c>
      <c r="F24" s="25"/>
      <c r="G24" s="25"/>
      <c r="H24" s="39"/>
    </row>
    <row r="25" spans="1:8" s="26" customFormat="1" ht="12" customHeight="1">
      <c r="A25" s="3">
        <v>21</v>
      </c>
      <c r="B25" s="3"/>
      <c r="C25" s="4" t="s">
        <v>31</v>
      </c>
      <c r="D25" s="25">
        <f>'2.2 Listi'!E25</f>
        <v>10044471</v>
      </c>
      <c r="E25" s="175">
        <f t="shared" si="0"/>
        <v>0</v>
      </c>
      <c r="F25" s="25">
        <f>+'4.1. Samtryggingard.'!AC65</f>
        <v>10044471</v>
      </c>
      <c r="G25" s="25"/>
      <c r="H25" s="25"/>
    </row>
    <row r="26" spans="1:8" s="26" customFormat="1" ht="12" customHeight="1">
      <c r="A26" s="3">
        <v>22</v>
      </c>
      <c r="B26" s="3"/>
      <c r="C26" s="4" t="s">
        <v>41</v>
      </c>
      <c r="D26" s="25">
        <f>'2.2 Listi'!E26</f>
        <v>9583301</v>
      </c>
      <c r="E26" s="25">
        <f t="shared" si="0"/>
        <v>9544123.7</v>
      </c>
      <c r="F26" s="25"/>
      <c r="G26" s="25"/>
      <c r="H26" s="39">
        <f>+'5.1. Séreignard.'!AE66</f>
        <v>39177.3</v>
      </c>
    </row>
    <row r="27" spans="1:8" s="26" customFormat="1" ht="12" customHeight="1">
      <c r="A27" s="3">
        <v>23</v>
      </c>
      <c r="B27" s="3"/>
      <c r="C27" s="4" t="s">
        <v>5</v>
      </c>
      <c r="D27" s="25">
        <f>'2.2 Listi'!E27</f>
        <v>9026776</v>
      </c>
      <c r="E27" s="25">
        <f t="shared" si="0"/>
        <v>9026776</v>
      </c>
      <c r="F27" s="25"/>
      <c r="G27" s="25"/>
      <c r="H27" s="39"/>
    </row>
    <row r="28" spans="1:8" s="26" customFormat="1" ht="12" customHeight="1">
      <c r="A28" s="3">
        <v>24</v>
      </c>
      <c r="B28" s="3"/>
      <c r="C28" s="4" t="s">
        <v>11</v>
      </c>
      <c r="D28" s="25">
        <f>'2.2 Listi'!E28</f>
        <v>7745837.499000001</v>
      </c>
      <c r="E28" s="175">
        <f t="shared" si="0"/>
        <v>0</v>
      </c>
      <c r="F28" s="25"/>
      <c r="G28" s="25">
        <f>+'4.1. Samtryggingard.'!AF65</f>
        <v>718979.4639999999</v>
      </c>
      <c r="H28" s="39">
        <f>+SUM('5.1. Séreignard.'!AF66:AH66)</f>
        <v>7026858.035</v>
      </c>
    </row>
    <row r="29" spans="1:10" s="26" customFormat="1" ht="12" customHeight="1">
      <c r="A29" s="3">
        <v>25</v>
      </c>
      <c r="B29" s="3"/>
      <c r="C29" s="6" t="s">
        <v>33</v>
      </c>
      <c r="D29" s="25">
        <f>'2.2 Listi'!E29</f>
        <v>7629767</v>
      </c>
      <c r="E29" s="39">
        <f t="shared" si="0"/>
        <v>6796621</v>
      </c>
      <c r="F29" s="39"/>
      <c r="G29" s="39">
        <f>+'4.1. Samtryggingard.'!AH65</f>
        <v>550765</v>
      </c>
      <c r="H29" s="39">
        <f>+SUM('5.1. Séreignard.'!AI66:AK66)</f>
        <v>282381</v>
      </c>
      <c r="J29" s="39"/>
    </row>
    <row r="30" spans="1:8" s="26" customFormat="1" ht="12" customHeight="1">
      <c r="A30" s="3">
        <v>26</v>
      </c>
      <c r="B30" s="3"/>
      <c r="C30" s="4" t="s">
        <v>28</v>
      </c>
      <c r="D30" s="25">
        <f>'2.2 Listi'!E30</f>
        <v>7502572</v>
      </c>
      <c r="E30" s="175">
        <f>+D30-F30-G30-H30</f>
        <v>0</v>
      </c>
      <c r="F30" s="25">
        <f>+'4.1. Samtryggingard.'!AI65</f>
        <v>7502572</v>
      </c>
      <c r="G30" s="25"/>
      <c r="H30" s="39"/>
    </row>
    <row r="31" spans="1:8" s="26" customFormat="1" ht="12" customHeight="1">
      <c r="A31" s="3">
        <v>27</v>
      </c>
      <c r="B31" s="3"/>
      <c r="C31" s="4" t="s">
        <v>34</v>
      </c>
      <c r="D31" s="25">
        <f>'2.2 Listi'!E31</f>
        <v>6409499</v>
      </c>
      <c r="E31" s="25">
        <f t="shared" si="0"/>
        <v>6409499</v>
      </c>
      <c r="F31" s="25"/>
      <c r="G31" s="25"/>
      <c r="H31" s="39"/>
    </row>
    <row r="32" spans="1:8" s="26" customFormat="1" ht="12" customHeight="1">
      <c r="A32" s="3">
        <v>28</v>
      </c>
      <c r="B32" s="3"/>
      <c r="C32" s="6" t="s">
        <v>47</v>
      </c>
      <c r="D32" s="25">
        <f>'2.2 Listi'!E32</f>
        <v>5495503.65</v>
      </c>
      <c r="E32" s="175">
        <f t="shared" si="0"/>
        <v>-0.0009999992325901985</v>
      </c>
      <c r="F32" s="25"/>
      <c r="G32" s="25">
        <f>+'4.1. Samtryggingard.'!AK65</f>
        <v>471097.63099999994</v>
      </c>
      <c r="H32" s="39">
        <f>+SUM('5.1. Séreignard.'!AL66:AO66)</f>
        <v>5024406.02</v>
      </c>
    </row>
    <row r="33" spans="1:8" s="26" customFormat="1" ht="12" customHeight="1">
      <c r="A33" s="3">
        <v>29</v>
      </c>
      <c r="B33" s="3"/>
      <c r="C33" s="4" t="s">
        <v>4</v>
      </c>
      <c r="D33" s="25">
        <f>'2.2 Listi'!E33</f>
        <v>3247975</v>
      </c>
      <c r="E33" s="175">
        <f t="shared" si="0"/>
        <v>0</v>
      </c>
      <c r="F33" s="25">
        <f>+'4.1. Samtryggingard.'!AL65</f>
        <v>3247975</v>
      </c>
      <c r="G33" s="25"/>
      <c r="H33" s="25"/>
    </row>
    <row r="34" spans="1:8" s="26" customFormat="1" ht="12" customHeight="1">
      <c r="A34" s="3">
        <v>30</v>
      </c>
      <c r="B34" s="3"/>
      <c r="C34" s="4" t="s">
        <v>18</v>
      </c>
      <c r="D34" s="25">
        <f>'2.2 Listi'!E34</f>
        <v>2728172</v>
      </c>
      <c r="E34" s="25">
        <f t="shared" si="0"/>
        <v>2728172</v>
      </c>
      <c r="F34" s="25"/>
      <c r="G34" s="25"/>
      <c r="H34" s="25"/>
    </row>
    <row r="35" spans="1:8" s="26" customFormat="1" ht="12" customHeight="1">
      <c r="A35" s="3">
        <v>31</v>
      </c>
      <c r="B35" s="3"/>
      <c r="C35" s="4" t="s">
        <v>25</v>
      </c>
      <c r="D35" s="25">
        <f>'2.2 Listi'!E35</f>
        <v>2679858</v>
      </c>
      <c r="E35" s="25">
        <f t="shared" si="0"/>
        <v>2671755</v>
      </c>
      <c r="F35" s="25"/>
      <c r="G35" s="25"/>
      <c r="H35" s="25">
        <f>+'5.1. Séreignard.'!AP66</f>
        <v>8103</v>
      </c>
    </row>
    <row r="36" spans="1:8" s="26" customFormat="1" ht="12" customHeight="1">
      <c r="A36" s="3">
        <v>32</v>
      </c>
      <c r="B36" s="3"/>
      <c r="C36" s="4" t="s">
        <v>16</v>
      </c>
      <c r="D36" s="25">
        <f>'2.2 Listi'!E36</f>
        <v>2279171</v>
      </c>
      <c r="E36" s="25">
        <f t="shared" si="0"/>
        <v>2279171</v>
      </c>
      <c r="F36" s="25"/>
      <c r="G36" s="25"/>
      <c r="H36" s="25"/>
    </row>
    <row r="37" spans="1:8" s="26" customFormat="1" ht="12" customHeight="1">
      <c r="A37" s="3">
        <v>33</v>
      </c>
      <c r="B37" s="3"/>
      <c r="C37" s="4" t="s">
        <v>19</v>
      </c>
      <c r="D37" s="25">
        <f>'2.2 Listi'!E37</f>
        <v>2250869</v>
      </c>
      <c r="E37" s="25">
        <f t="shared" si="0"/>
        <v>2250869</v>
      </c>
      <c r="F37" s="25"/>
      <c r="G37" s="25"/>
      <c r="H37" s="25"/>
    </row>
    <row r="38" spans="1:8" s="26" customFormat="1" ht="12" customHeight="1">
      <c r="A38" s="3">
        <v>34</v>
      </c>
      <c r="B38" s="3"/>
      <c r="C38" s="4" t="s">
        <v>396</v>
      </c>
      <c r="D38" s="25">
        <f>'2.2 Listi'!E38</f>
        <v>1601449</v>
      </c>
      <c r="E38" s="175">
        <f aca="true" t="shared" si="1" ref="E38:E54">+D38-F38-G38-H38</f>
        <v>0</v>
      </c>
      <c r="F38" s="25">
        <f>+'4.1. Samtryggingard.'!AR65</f>
        <v>1601449</v>
      </c>
      <c r="G38" s="25"/>
      <c r="H38" s="25"/>
    </row>
    <row r="39" spans="1:8" s="26" customFormat="1" ht="12" customHeight="1">
      <c r="A39" s="3">
        <v>35</v>
      </c>
      <c r="B39" s="3"/>
      <c r="C39" s="6" t="s">
        <v>36</v>
      </c>
      <c r="D39" s="25">
        <f>'2.2 Listi'!E39</f>
        <v>1585889</v>
      </c>
      <c r="E39" s="175">
        <f t="shared" si="1"/>
        <v>0</v>
      </c>
      <c r="F39" s="25"/>
      <c r="G39" s="25">
        <f>+'4.1. Samtryggingard.'!AS65</f>
        <v>130981</v>
      </c>
      <c r="H39" s="39">
        <f>+'5.1. Séreignard.'!AQ66</f>
        <v>1454908</v>
      </c>
    </row>
    <row r="40" spans="1:8" s="26" customFormat="1" ht="12" customHeight="1">
      <c r="A40" s="3">
        <v>36</v>
      </c>
      <c r="B40" s="3"/>
      <c r="C40" s="6" t="s">
        <v>3</v>
      </c>
      <c r="D40" s="25">
        <f>'2.2 Listi'!E40</f>
        <v>1475470</v>
      </c>
      <c r="E40" s="175">
        <f t="shared" si="1"/>
        <v>0</v>
      </c>
      <c r="F40" s="25">
        <f>+'4.1. Samtryggingard.'!AT65</f>
        <v>1475470</v>
      </c>
      <c r="G40" s="25"/>
      <c r="H40" s="25"/>
    </row>
    <row r="41" spans="1:8" s="26" customFormat="1" ht="12" customHeight="1">
      <c r="A41" s="3">
        <v>37</v>
      </c>
      <c r="B41" s="3"/>
      <c r="C41" s="4" t="s">
        <v>2</v>
      </c>
      <c r="D41" s="25">
        <f>'2.2 Listi'!E41</f>
        <v>1417801.8380000002</v>
      </c>
      <c r="E41" s="25">
        <f t="shared" si="1"/>
        <v>1417801.8380000002</v>
      </c>
      <c r="F41" s="25"/>
      <c r="G41" s="25"/>
      <c r="H41" s="25"/>
    </row>
    <row r="42" spans="1:8" s="26" customFormat="1" ht="12" customHeight="1">
      <c r="A42" s="3">
        <v>38</v>
      </c>
      <c r="B42" s="3"/>
      <c r="C42" s="6" t="s">
        <v>22</v>
      </c>
      <c r="D42" s="25">
        <f>'2.2 Listi'!E42</f>
        <v>1368427</v>
      </c>
      <c r="E42" s="25">
        <f t="shared" si="1"/>
        <v>1368427</v>
      </c>
      <c r="F42" s="25"/>
      <c r="G42" s="25"/>
      <c r="H42" s="25"/>
    </row>
    <row r="43" spans="1:8" s="26" customFormat="1" ht="12" customHeight="1">
      <c r="A43" s="3">
        <v>39</v>
      </c>
      <c r="B43" s="3"/>
      <c r="C43" s="6" t="s">
        <v>27</v>
      </c>
      <c r="D43" s="25">
        <f>'2.2 Listi'!E43</f>
        <v>1182750</v>
      </c>
      <c r="E43" s="175">
        <f t="shared" si="1"/>
        <v>0</v>
      </c>
      <c r="F43" s="25">
        <f>+'4.1. Samtryggingard.'!AW65</f>
        <v>1182750</v>
      </c>
      <c r="G43" s="25"/>
      <c r="H43" s="25"/>
    </row>
    <row r="44" spans="1:8" s="26" customFormat="1" ht="12" customHeight="1">
      <c r="A44" s="3">
        <v>40</v>
      </c>
      <c r="B44" s="3"/>
      <c r="C44" s="6" t="s">
        <v>13</v>
      </c>
      <c r="D44" s="25">
        <f>'2.2 Listi'!E44</f>
        <v>885206</v>
      </c>
      <c r="E44" s="175">
        <f t="shared" si="1"/>
        <v>0</v>
      </c>
      <c r="F44" s="25">
        <f>+'4.1. Samtryggingard.'!AX119</f>
        <v>885206</v>
      </c>
      <c r="G44" s="25"/>
      <c r="H44" s="25"/>
    </row>
    <row r="45" spans="1:8" s="26" customFormat="1" ht="12" customHeight="1">
      <c r="A45" s="3">
        <v>41</v>
      </c>
      <c r="B45" s="3"/>
      <c r="C45" s="6" t="s">
        <v>9</v>
      </c>
      <c r="D45" s="25">
        <f>'2.2 Listi'!E45</f>
        <v>665253</v>
      </c>
      <c r="E45" s="25">
        <f t="shared" si="1"/>
        <v>665253</v>
      </c>
      <c r="F45" s="25"/>
      <c r="G45" s="25"/>
      <c r="H45" s="25"/>
    </row>
    <row r="46" spans="1:8" s="26" customFormat="1" ht="12" customHeight="1">
      <c r="A46" s="3">
        <v>42</v>
      </c>
      <c r="B46" s="3"/>
      <c r="C46" s="6" t="s">
        <v>7</v>
      </c>
      <c r="D46" s="25">
        <f>'2.2 Listi'!E46</f>
        <v>595106</v>
      </c>
      <c r="E46" s="25">
        <f t="shared" si="1"/>
        <v>595106</v>
      </c>
      <c r="F46" s="25"/>
      <c r="G46" s="25"/>
      <c r="H46" s="25"/>
    </row>
    <row r="47" spans="1:8" s="26" customFormat="1" ht="12" customHeight="1">
      <c r="A47" s="3">
        <v>43</v>
      </c>
      <c r="B47" s="3"/>
      <c r="C47" s="6" t="s">
        <v>6</v>
      </c>
      <c r="D47" s="25">
        <f>'2.2 Listi'!E47</f>
        <v>550918</v>
      </c>
      <c r="E47" s="175">
        <f t="shared" si="1"/>
        <v>0</v>
      </c>
      <c r="F47" s="25">
        <f>+'4.1. Samtryggingard.'!BA119</f>
        <v>550918</v>
      </c>
      <c r="G47" s="25"/>
      <c r="H47" s="25"/>
    </row>
    <row r="48" spans="1:8" s="26" customFormat="1" ht="12" customHeight="1">
      <c r="A48" s="3">
        <v>44</v>
      </c>
      <c r="B48" s="3"/>
      <c r="C48" s="6" t="s">
        <v>12</v>
      </c>
      <c r="D48" s="25">
        <f>'2.2 Listi'!E48</f>
        <v>486957</v>
      </c>
      <c r="E48" s="25">
        <f t="shared" si="1"/>
        <v>486957</v>
      </c>
      <c r="F48" s="25"/>
      <c r="G48" s="25"/>
      <c r="H48" s="25"/>
    </row>
    <row r="49" spans="1:8" s="26" customFormat="1" ht="12" customHeight="1">
      <c r="A49" s="3">
        <v>45</v>
      </c>
      <c r="B49" s="3"/>
      <c r="C49" s="6" t="s">
        <v>44</v>
      </c>
      <c r="D49" s="25">
        <f>'2.2 Listi'!E49</f>
        <v>452728.273</v>
      </c>
      <c r="E49" s="25">
        <f t="shared" si="1"/>
        <v>452728.273</v>
      </c>
      <c r="F49" s="25"/>
      <c r="G49" s="25"/>
      <c r="H49" s="25"/>
    </row>
    <row r="50" spans="1:8" s="26" customFormat="1" ht="12" customHeight="1">
      <c r="A50" s="3">
        <v>46</v>
      </c>
      <c r="B50" s="3"/>
      <c r="C50" s="164" t="s">
        <v>562</v>
      </c>
      <c r="D50" s="25">
        <f>'2.2 Listi'!E50</f>
        <v>366418</v>
      </c>
      <c r="E50" s="175">
        <f t="shared" si="1"/>
        <v>0</v>
      </c>
      <c r="F50" s="25">
        <f>+'4.1. Samtryggingard.'!BD119</f>
        <v>366418</v>
      </c>
      <c r="G50" s="25"/>
      <c r="H50" s="25"/>
    </row>
    <row r="51" spans="1:8" s="26" customFormat="1" ht="12" customHeight="1">
      <c r="A51" s="3">
        <v>47</v>
      </c>
      <c r="B51" s="3"/>
      <c r="C51" s="6" t="s">
        <v>23</v>
      </c>
      <c r="D51" s="25">
        <f>'2.2 Listi'!E51</f>
        <v>195390</v>
      </c>
      <c r="E51" s="175">
        <f t="shared" si="1"/>
        <v>0</v>
      </c>
      <c r="F51" s="25">
        <f>+'4.1. Samtryggingard.'!BE119</f>
        <v>195390</v>
      </c>
      <c r="G51" s="25"/>
      <c r="H51" s="25"/>
    </row>
    <row r="52" spans="1:8" s="26" customFormat="1" ht="12" customHeight="1">
      <c r="A52" s="3">
        <v>48</v>
      </c>
      <c r="B52" s="3"/>
      <c r="C52" s="6" t="s">
        <v>8</v>
      </c>
      <c r="D52" s="25">
        <f>'2.2 Listi'!E52</f>
        <v>97770</v>
      </c>
      <c r="E52" s="175">
        <f t="shared" si="1"/>
        <v>0</v>
      </c>
      <c r="F52" s="25">
        <f>+'4.1. Samtryggingard.'!BF119</f>
        <v>97770</v>
      </c>
      <c r="G52" s="25"/>
      <c r="H52" s="25"/>
    </row>
    <row r="53" spans="1:8" s="26" customFormat="1" ht="12" customHeight="1">
      <c r="A53" s="3">
        <v>49</v>
      </c>
      <c r="B53" s="3"/>
      <c r="C53" s="6" t="s">
        <v>30</v>
      </c>
      <c r="D53" s="25">
        <f>'2.2 Listi'!E53</f>
        <v>13903.926</v>
      </c>
      <c r="E53" s="175">
        <f t="shared" si="1"/>
        <v>-0.07400000000052387</v>
      </c>
      <c r="F53" s="25">
        <f>+'4.1. Samtryggingard.'!BG119</f>
        <v>13904</v>
      </c>
      <c r="G53" s="25"/>
      <c r="H53" s="25"/>
    </row>
    <row r="54" spans="1:8" s="26" customFormat="1" ht="12" customHeight="1">
      <c r="A54" s="3">
        <v>50</v>
      </c>
      <c r="B54" s="3"/>
      <c r="C54" s="6" t="s">
        <v>29</v>
      </c>
      <c r="D54" s="25">
        <f>'2.2 Listi'!E54</f>
        <v>8344</v>
      </c>
      <c r="E54" s="175">
        <f t="shared" si="1"/>
        <v>0</v>
      </c>
      <c r="F54" s="25">
        <f>+'4.1. Samtryggingard.'!BH119</f>
        <v>8344</v>
      </c>
      <c r="G54" s="25"/>
      <c r="H54" s="25"/>
    </row>
    <row r="55" spans="1:8" ht="15" customHeight="1" thickBot="1">
      <c r="A55" s="6"/>
      <c r="B55" s="20"/>
      <c r="C55" s="23" t="s">
        <v>68</v>
      </c>
      <c r="D55" s="27">
        <f>SUM(D5:D54)</f>
        <v>823977366.0799999</v>
      </c>
      <c r="E55" s="27">
        <f>SUM(E5:E54)</f>
        <v>526236165.63</v>
      </c>
      <c r="F55" s="27">
        <f>SUM(F5:F54)</f>
        <v>166230691</v>
      </c>
      <c r="G55" s="27">
        <f>SUM(G5:G54)</f>
        <v>64621664.095</v>
      </c>
      <c r="H55" s="27">
        <f>SUM(H5:H54)</f>
        <v>66888845.35499999</v>
      </c>
    </row>
    <row r="56" spans="1:8" ht="4.5" customHeight="1" thickTop="1">
      <c r="A56" s="6"/>
      <c r="B56" s="20"/>
      <c r="C56" s="23"/>
      <c r="D56" s="16"/>
      <c r="E56" s="16"/>
      <c r="F56" s="16"/>
      <c r="G56" s="16"/>
      <c r="H56" s="16"/>
    </row>
    <row r="57" ht="6.75" customHeight="1"/>
    <row r="58" spans="1:7" ht="12.75">
      <c r="A58" s="29" t="s">
        <v>69</v>
      </c>
      <c r="G58" s="170"/>
    </row>
    <row r="59" spans="1:8" ht="12.75">
      <c r="A59" s="29" t="s">
        <v>70</v>
      </c>
      <c r="G59" s="28"/>
      <c r="H59" s="28"/>
    </row>
    <row r="60" spans="1:8" ht="12.75">
      <c r="A60" s="28"/>
      <c r="B60" s="28"/>
      <c r="C60" s="28"/>
      <c r="D60" s="28"/>
      <c r="E60" s="28"/>
      <c r="G60" s="170"/>
      <c r="H60" s="170"/>
    </row>
    <row r="61" spans="1:8" ht="12.75">
      <c r="A61" s="28"/>
      <c r="B61" s="28"/>
      <c r="C61" s="165"/>
      <c r="D61" s="167">
        <f>+'2.2 Listi'!E55</f>
        <v>823977366.0799999</v>
      </c>
      <c r="E61" s="85"/>
      <c r="F61" s="352"/>
      <c r="G61" s="28"/>
      <c r="H61" s="170"/>
    </row>
    <row r="62" spans="1:6" ht="12.75">
      <c r="A62" s="28"/>
      <c r="B62" s="28"/>
      <c r="C62" s="165"/>
      <c r="D62" s="167">
        <f>+'3.1 Yfirlit '!BB67</f>
        <v>823977366.2312499</v>
      </c>
      <c r="E62" s="85"/>
      <c r="F62" s="85"/>
    </row>
    <row r="63" spans="3:6" ht="12.75">
      <c r="C63" s="166"/>
      <c r="D63" s="167">
        <f>+'3.2 Efnah.'!BB57</f>
        <v>823977366.0799999</v>
      </c>
      <c r="E63" s="34"/>
      <c r="F63" s="34"/>
    </row>
    <row r="64" ht="12">
      <c r="E64" s="169"/>
    </row>
    <row r="67" ht="12.75">
      <c r="E67" s="85"/>
    </row>
  </sheetData>
  <sheetProtection/>
  <mergeCells count="1">
    <mergeCell ref="E1:G1"/>
  </mergeCells>
  <printOptions/>
  <pageMargins left="0.35433070866141736" right="0" top="0.984251968503937" bottom="0.3937007874015748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Roman,Bold"&amp;14 2.3. YFIRLIT YFIR LÍFEYRISSJÓÐAKERFI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71"/>
  <sheetViews>
    <sheetView zoomScalePageLayoutView="0" workbookViewId="0" topLeftCell="A1">
      <pane xSplit="1" ySplit="5" topLeftCell="AR6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D69" sqref="D69"/>
    </sheetView>
  </sheetViews>
  <sheetFormatPr defaultColWidth="9.28125" defaultRowHeight="12.75"/>
  <cols>
    <col min="1" max="1" width="27.7109375" style="41" customWidth="1"/>
    <col min="2" max="2" width="9.8515625" style="41" customWidth="1"/>
    <col min="3" max="3" width="9.7109375" style="41" customWidth="1"/>
    <col min="4" max="37" width="9.28125" style="41" customWidth="1"/>
    <col min="38" max="38" width="10.421875" style="41" customWidth="1"/>
    <col min="39" max="41" width="9.28125" style="41" customWidth="1"/>
    <col min="42" max="42" width="10.00390625" style="41" customWidth="1"/>
    <col min="43" max="44" width="10.7109375" style="41" customWidth="1"/>
    <col min="45" max="46" width="9.28125" style="41" customWidth="1"/>
    <col min="47" max="47" width="12.57421875" style="41" customWidth="1"/>
    <col min="48" max="48" width="9.28125" style="41" customWidth="1"/>
    <col min="49" max="49" width="10.421875" style="41" customWidth="1"/>
    <col min="50" max="50" width="9.57421875" style="41" customWidth="1"/>
    <col min="51" max="51" width="10.00390625" style="41" customWidth="1"/>
    <col min="52" max="52" width="7.8515625" style="0" customWidth="1"/>
    <col min="53" max="53" width="3.57421875" style="41" customWidth="1"/>
    <col min="54" max="54" width="11.7109375" style="41" customWidth="1"/>
    <col min="55" max="16384" width="9.28125" style="41" customWidth="1"/>
  </cols>
  <sheetData>
    <row r="1" spans="1:55" ht="12.75" customHeight="1">
      <c r="A1" s="30"/>
      <c r="B1" s="84" t="s">
        <v>71</v>
      </c>
      <c r="C1" s="84" t="s">
        <v>71</v>
      </c>
      <c r="D1" s="84" t="s">
        <v>71</v>
      </c>
      <c r="E1" s="84" t="s">
        <v>71</v>
      </c>
      <c r="F1" s="84" t="s">
        <v>72</v>
      </c>
      <c r="G1" s="84" t="s">
        <v>71</v>
      </c>
      <c r="H1" s="84" t="s">
        <v>73</v>
      </c>
      <c r="I1" s="84" t="s">
        <v>525</v>
      </c>
      <c r="J1" s="84" t="s">
        <v>75</v>
      </c>
      <c r="K1" s="84" t="s">
        <v>71</v>
      </c>
      <c r="L1" s="84" t="s">
        <v>71</v>
      </c>
      <c r="M1" s="84" t="s">
        <v>74</v>
      </c>
      <c r="N1" s="84" t="s">
        <v>71</v>
      </c>
      <c r="O1" s="84" t="s">
        <v>71</v>
      </c>
      <c r="P1" s="84" t="s">
        <v>71</v>
      </c>
      <c r="Q1" s="84" t="s">
        <v>71</v>
      </c>
      <c r="R1" s="84" t="s">
        <v>71</v>
      </c>
      <c r="S1" s="84" t="s">
        <v>71</v>
      </c>
      <c r="T1" s="84" t="s">
        <v>71</v>
      </c>
      <c r="U1" s="84" t="s">
        <v>71</v>
      </c>
      <c r="V1" s="84" t="s">
        <v>71</v>
      </c>
      <c r="W1" s="84" t="s">
        <v>71</v>
      </c>
      <c r="X1" s="84" t="s">
        <v>76</v>
      </c>
      <c r="Y1" s="84" t="s">
        <v>78</v>
      </c>
      <c r="Z1" s="84" t="s">
        <v>71</v>
      </c>
      <c r="AA1" s="84" t="s">
        <v>71</v>
      </c>
      <c r="AB1" s="84" t="s">
        <v>71</v>
      </c>
      <c r="AC1" s="84" t="s">
        <v>80</v>
      </c>
      <c r="AD1" s="84" t="s">
        <v>79</v>
      </c>
      <c r="AE1" s="84" t="s">
        <v>71</v>
      </c>
      <c r="AF1" s="84" t="s">
        <v>71</v>
      </c>
      <c r="AG1" s="84" t="s">
        <v>71</v>
      </c>
      <c r="AH1" s="84" t="s">
        <v>71</v>
      </c>
      <c r="AI1" s="84" t="s">
        <v>71</v>
      </c>
      <c r="AJ1" s="84" t="s">
        <v>71</v>
      </c>
      <c r="AK1" s="84" t="s">
        <v>79</v>
      </c>
      <c r="AL1" s="84" t="s">
        <v>79</v>
      </c>
      <c r="AM1" s="84" t="s">
        <v>71</v>
      </c>
      <c r="AN1" s="84" t="s">
        <v>71</v>
      </c>
      <c r="AO1" s="84" t="s">
        <v>71</v>
      </c>
      <c r="AP1" s="84" t="s">
        <v>79</v>
      </c>
      <c r="AQ1" s="84" t="s">
        <v>79</v>
      </c>
      <c r="AR1" s="84" t="s">
        <v>79</v>
      </c>
      <c r="AS1" s="84" t="s">
        <v>71</v>
      </c>
      <c r="AT1" s="84" t="s">
        <v>77</v>
      </c>
      <c r="AU1" s="84" t="s">
        <v>71</v>
      </c>
      <c r="AV1" s="84" t="s">
        <v>71</v>
      </c>
      <c r="AW1" s="84" t="s">
        <v>79</v>
      </c>
      <c r="AX1" s="84" t="s">
        <v>71</v>
      </c>
      <c r="AY1" s="84" t="s">
        <v>71</v>
      </c>
      <c r="BB1" s="84" t="s">
        <v>81</v>
      </c>
      <c r="BC1" s="84"/>
    </row>
    <row r="2" spans="1:55" ht="12.75">
      <c r="A2" s="33" t="s">
        <v>64</v>
      </c>
      <c r="B2" s="84" t="s">
        <v>83</v>
      </c>
      <c r="C2" s="84" t="s">
        <v>82</v>
      </c>
      <c r="D2" s="84" t="s">
        <v>84</v>
      </c>
      <c r="E2" s="84" t="s">
        <v>86</v>
      </c>
      <c r="F2" s="84" t="s">
        <v>85</v>
      </c>
      <c r="G2" s="84" t="s">
        <v>87</v>
      </c>
      <c r="H2" s="84" t="s">
        <v>85</v>
      </c>
      <c r="I2" s="84" t="s">
        <v>97</v>
      </c>
      <c r="J2" s="84" t="s">
        <v>85</v>
      </c>
      <c r="K2" s="84" t="s">
        <v>89</v>
      </c>
      <c r="L2" s="84" t="s">
        <v>88</v>
      </c>
      <c r="M2" s="84" t="s">
        <v>85</v>
      </c>
      <c r="N2" s="84" t="s">
        <v>90</v>
      </c>
      <c r="O2" s="84" t="s">
        <v>92</v>
      </c>
      <c r="P2" s="84" t="s">
        <v>91</v>
      </c>
      <c r="Q2" s="84" t="s">
        <v>95</v>
      </c>
      <c r="R2" s="84" t="s">
        <v>94</v>
      </c>
      <c r="S2" s="84" t="s">
        <v>98</v>
      </c>
      <c r="T2" s="84" t="s">
        <v>96</v>
      </c>
      <c r="U2" s="84" t="s">
        <v>93</v>
      </c>
      <c r="V2" s="84" t="s">
        <v>102</v>
      </c>
      <c r="W2" s="84" t="s">
        <v>99</v>
      </c>
      <c r="X2" s="84" t="s">
        <v>100</v>
      </c>
      <c r="Y2" s="84" t="s">
        <v>85</v>
      </c>
      <c r="Z2" s="84" t="s">
        <v>102</v>
      </c>
      <c r="AA2" s="84" t="s">
        <v>102</v>
      </c>
      <c r="AB2" s="84" t="s">
        <v>103</v>
      </c>
      <c r="AC2" s="84" t="s">
        <v>85</v>
      </c>
      <c r="AD2" s="84" t="s">
        <v>102</v>
      </c>
      <c r="AE2" s="84" t="s">
        <v>104</v>
      </c>
      <c r="AF2" s="84" t="s">
        <v>107</v>
      </c>
      <c r="AG2" s="84" t="s">
        <v>106</v>
      </c>
      <c r="AH2" s="84" t="s">
        <v>105</v>
      </c>
      <c r="AI2" s="84" t="s">
        <v>109</v>
      </c>
      <c r="AJ2" s="84" t="s">
        <v>112</v>
      </c>
      <c r="AK2" s="84" t="s">
        <v>110</v>
      </c>
      <c r="AL2" s="84" t="s">
        <v>108</v>
      </c>
      <c r="AM2" s="84" t="s">
        <v>111</v>
      </c>
      <c r="AN2" s="84" t="s">
        <v>113</v>
      </c>
      <c r="AO2" s="84" t="s">
        <v>114</v>
      </c>
      <c r="AP2" s="84" t="s">
        <v>116</v>
      </c>
      <c r="AQ2" s="84" t="s">
        <v>115</v>
      </c>
      <c r="AR2" s="84" t="s">
        <v>117</v>
      </c>
      <c r="AS2" s="84" t="s">
        <v>102</v>
      </c>
      <c r="AT2" s="84" t="s">
        <v>101</v>
      </c>
      <c r="AU2" s="84" t="s">
        <v>422</v>
      </c>
      <c r="AV2" s="84" t="s">
        <v>118</v>
      </c>
      <c r="AW2" s="84" t="s">
        <v>119</v>
      </c>
      <c r="AX2" s="84" t="s">
        <v>120</v>
      </c>
      <c r="AY2" s="84" t="s">
        <v>121</v>
      </c>
      <c r="BB2" s="84" t="s">
        <v>122</v>
      </c>
      <c r="BC2" s="84"/>
    </row>
    <row r="3" spans="1:55" ht="12.75">
      <c r="A3" s="30"/>
      <c r="B3" s="84"/>
      <c r="C3" s="84" t="s">
        <v>125</v>
      </c>
      <c r="D3" s="84" t="s">
        <v>59</v>
      </c>
      <c r="E3" s="84" t="s">
        <v>59</v>
      </c>
      <c r="F3" s="84" t="s">
        <v>101</v>
      </c>
      <c r="G3" s="84" t="s">
        <v>128</v>
      </c>
      <c r="H3" s="84" t="s">
        <v>129</v>
      </c>
      <c r="I3" s="84"/>
      <c r="J3" s="84" t="s">
        <v>101</v>
      </c>
      <c r="K3" s="84" t="s">
        <v>59</v>
      </c>
      <c r="L3" s="84" t="s">
        <v>130</v>
      </c>
      <c r="M3" s="84" t="s">
        <v>101</v>
      </c>
      <c r="N3" s="84" t="s">
        <v>128</v>
      </c>
      <c r="O3" s="84" t="s">
        <v>59</v>
      </c>
      <c r="P3" s="84" t="s">
        <v>131</v>
      </c>
      <c r="Q3" s="84" t="s">
        <v>133</v>
      </c>
      <c r="R3" s="84" t="s">
        <v>132</v>
      </c>
      <c r="S3" s="84" t="s">
        <v>135</v>
      </c>
      <c r="T3" s="84" t="s">
        <v>134</v>
      </c>
      <c r="U3" s="84" t="s">
        <v>59</v>
      </c>
      <c r="V3" s="84" t="s">
        <v>139</v>
      </c>
      <c r="W3" s="84" t="s">
        <v>128</v>
      </c>
      <c r="X3" s="84" t="s">
        <v>136</v>
      </c>
      <c r="Y3" s="84" t="s">
        <v>138</v>
      </c>
      <c r="Z3" s="84" t="s">
        <v>144</v>
      </c>
      <c r="AA3" s="84" t="s">
        <v>137</v>
      </c>
      <c r="AB3" s="84"/>
      <c r="AC3" s="84" t="s">
        <v>101</v>
      </c>
      <c r="AD3" s="84" t="s">
        <v>141</v>
      </c>
      <c r="AE3" s="84" t="s">
        <v>140</v>
      </c>
      <c r="AF3" s="84"/>
      <c r="AG3" s="84" t="s">
        <v>143</v>
      </c>
      <c r="AH3" s="84" t="s">
        <v>142</v>
      </c>
      <c r="AI3" s="84" t="s">
        <v>395</v>
      </c>
      <c r="AJ3" s="84" t="s">
        <v>148</v>
      </c>
      <c r="AK3" s="84" t="s">
        <v>146</v>
      </c>
      <c r="AL3" s="84" t="s">
        <v>145</v>
      </c>
      <c r="AM3" s="84" t="s">
        <v>147</v>
      </c>
      <c r="AN3" s="84" t="s">
        <v>149</v>
      </c>
      <c r="AO3" s="84" t="s">
        <v>150</v>
      </c>
      <c r="AP3" s="84" t="s">
        <v>151</v>
      </c>
      <c r="AQ3" s="84" t="s">
        <v>103</v>
      </c>
      <c r="AR3" s="84" t="s">
        <v>152</v>
      </c>
      <c r="AS3" s="84" t="s">
        <v>153</v>
      </c>
      <c r="AT3" s="84" t="s">
        <v>154</v>
      </c>
      <c r="AU3" s="84" t="s">
        <v>421</v>
      </c>
      <c r="AV3" s="84" t="s">
        <v>155</v>
      </c>
      <c r="AW3" s="84" t="s">
        <v>156</v>
      </c>
      <c r="AX3" s="84" t="s">
        <v>157</v>
      </c>
      <c r="AY3" s="84" t="s">
        <v>158</v>
      </c>
      <c r="BB3" s="84" t="s">
        <v>159</v>
      </c>
      <c r="BC3" s="84"/>
    </row>
    <row r="4" spans="1:55" s="88" customFormat="1" ht="12.75">
      <c r="A4" s="84"/>
      <c r="B4" s="87" t="s">
        <v>375</v>
      </c>
      <c r="C4" s="87" t="s">
        <v>161</v>
      </c>
      <c r="D4" s="87" t="s">
        <v>166</v>
      </c>
      <c r="E4" s="87" t="s">
        <v>167</v>
      </c>
      <c r="F4" s="87" t="s">
        <v>170</v>
      </c>
      <c r="G4" s="87" t="s">
        <v>171</v>
      </c>
      <c r="H4" s="87" t="s">
        <v>172</v>
      </c>
      <c r="I4" s="87" t="s">
        <v>173</v>
      </c>
      <c r="J4" s="87" t="s">
        <v>174</v>
      </c>
      <c r="K4" s="87" t="s">
        <v>175</v>
      </c>
      <c r="L4" s="87" t="s">
        <v>176</v>
      </c>
      <c r="M4" s="87" t="s">
        <v>177</v>
      </c>
      <c r="N4" s="87" t="s">
        <v>178</v>
      </c>
      <c r="O4" s="87" t="s">
        <v>179</v>
      </c>
      <c r="P4" s="87" t="s">
        <v>180</v>
      </c>
      <c r="Q4" s="87" t="s">
        <v>181</v>
      </c>
      <c r="R4" s="87" t="s">
        <v>182</v>
      </c>
      <c r="S4" s="87" t="s">
        <v>183</v>
      </c>
      <c r="T4" s="87" t="s">
        <v>184</v>
      </c>
      <c r="U4" s="87" t="s">
        <v>185</v>
      </c>
      <c r="V4" s="87" t="s">
        <v>186</v>
      </c>
      <c r="W4" s="87" t="s">
        <v>187</v>
      </c>
      <c r="X4" s="87" t="s">
        <v>517</v>
      </c>
      <c r="Y4" s="87" t="s">
        <v>188</v>
      </c>
      <c r="Z4" s="87" t="s">
        <v>189</v>
      </c>
      <c r="AA4" s="87" t="s">
        <v>190</v>
      </c>
      <c r="AB4" s="87" t="s">
        <v>191</v>
      </c>
      <c r="AC4" s="87" t="s">
        <v>192</v>
      </c>
      <c r="AD4" s="87" t="s">
        <v>193</v>
      </c>
      <c r="AE4" s="87" t="s">
        <v>194</v>
      </c>
      <c r="AF4" s="87" t="s">
        <v>195</v>
      </c>
      <c r="AG4" s="87" t="s">
        <v>196</v>
      </c>
      <c r="AH4" s="87" t="s">
        <v>199</v>
      </c>
      <c r="AI4" s="87" t="s">
        <v>200</v>
      </c>
      <c r="AJ4" s="87" t="s">
        <v>201</v>
      </c>
      <c r="AK4" s="87" t="s">
        <v>202</v>
      </c>
      <c r="AL4" s="87" t="s">
        <v>203</v>
      </c>
      <c r="AM4" s="87" t="s">
        <v>205</v>
      </c>
      <c r="AN4" s="87" t="s">
        <v>206</v>
      </c>
      <c r="AO4" s="87" t="s">
        <v>207</v>
      </c>
      <c r="AP4" s="87" t="s">
        <v>208</v>
      </c>
      <c r="AQ4" s="87" t="s">
        <v>209</v>
      </c>
      <c r="AR4" s="87" t="s">
        <v>210</v>
      </c>
      <c r="AS4" s="87" t="s">
        <v>211</v>
      </c>
      <c r="AT4" s="87" t="s">
        <v>212</v>
      </c>
      <c r="AU4" s="87" t="s">
        <v>213</v>
      </c>
      <c r="AV4" s="87" t="s">
        <v>214</v>
      </c>
      <c r="AW4" s="87" t="s">
        <v>215</v>
      </c>
      <c r="AX4" s="87" t="s">
        <v>216</v>
      </c>
      <c r="AY4" s="87" t="s">
        <v>217</v>
      </c>
      <c r="BB4" s="84"/>
      <c r="BC4" s="84"/>
    </row>
    <row r="5" spans="1:55" ht="12.75">
      <c r="A5" s="38" t="s">
        <v>273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10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BB5" s="30"/>
      <c r="BC5" s="30"/>
    </row>
    <row r="6" spans="1:55" ht="12.75">
      <c r="A6" s="40" t="s">
        <v>274</v>
      </c>
      <c r="B6" s="31">
        <v>3138528</v>
      </c>
      <c r="C6" s="31">
        <v>3299289</v>
      </c>
      <c r="D6" s="31">
        <v>1276505</v>
      </c>
      <c r="E6" s="31">
        <v>745819</v>
      </c>
      <c r="F6" s="31">
        <v>1254482.452</v>
      </c>
      <c r="G6" s="31">
        <v>674534</v>
      </c>
      <c r="H6" s="31">
        <v>629244</v>
      </c>
      <c r="I6" s="31">
        <v>1486607</v>
      </c>
      <c r="J6" s="31">
        <v>1377716</v>
      </c>
      <c r="K6" s="31">
        <v>650310</v>
      </c>
      <c r="L6" s="31">
        <v>286022</v>
      </c>
      <c r="M6" s="31">
        <v>322467</v>
      </c>
      <c r="N6" s="31">
        <v>394442</v>
      </c>
      <c r="O6" s="110">
        <v>300771</v>
      </c>
      <c r="P6" s="31">
        <v>243235</v>
      </c>
      <c r="Q6" s="31">
        <v>542815</v>
      </c>
      <c r="R6" s="31">
        <v>347267</v>
      </c>
      <c r="S6" s="191">
        <v>83637</v>
      </c>
      <c r="T6" s="31">
        <v>194562</v>
      </c>
      <c r="U6" s="110">
        <v>126083.514</v>
      </c>
      <c r="V6" s="31">
        <v>134153</v>
      </c>
      <c r="W6" s="191">
        <v>198988</v>
      </c>
      <c r="X6" s="31">
        <v>89048</v>
      </c>
      <c r="Y6" s="31">
        <v>475996.913</v>
      </c>
      <c r="Z6" s="31">
        <v>592550</v>
      </c>
      <c r="AA6" s="31">
        <v>23948</v>
      </c>
      <c r="AB6" s="31">
        <v>143642</v>
      </c>
      <c r="AC6" s="31">
        <v>629264.0149999999</v>
      </c>
      <c r="AD6" s="110">
        <v>0</v>
      </c>
      <c r="AE6" s="31">
        <v>0</v>
      </c>
      <c r="AF6" s="31">
        <v>51748</v>
      </c>
      <c r="AG6" s="31">
        <v>36922</v>
      </c>
      <c r="AH6" s="31">
        <v>0</v>
      </c>
      <c r="AI6" s="31">
        <v>18557</v>
      </c>
      <c r="AJ6" s="31">
        <v>34130</v>
      </c>
      <c r="AK6" s="31">
        <v>21686</v>
      </c>
      <c r="AL6" s="31">
        <v>0</v>
      </c>
      <c r="AM6" s="31">
        <v>0</v>
      </c>
      <c r="AN6" s="31">
        <v>21509</v>
      </c>
      <c r="AO6" s="31">
        <v>7364</v>
      </c>
      <c r="AP6" s="31">
        <v>0</v>
      </c>
      <c r="AQ6" s="31">
        <v>0</v>
      </c>
      <c r="AR6" s="31">
        <v>13577</v>
      </c>
      <c r="AS6" s="31">
        <v>0</v>
      </c>
      <c r="AT6" s="31">
        <v>0</v>
      </c>
      <c r="AU6" s="31">
        <v>2896</v>
      </c>
      <c r="AV6" s="31">
        <v>2190</v>
      </c>
      <c r="AW6" s="31">
        <v>0</v>
      </c>
      <c r="AX6" s="31">
        <v>4729.191</v>
      </c>
      <c r="AY6" s="31">
        <v>0</v>
      </c>
      <c r="BB6" s="41">
        <f>SUM(B6:AY6)</f>
        <v>19877234.084999997</v>
      </c>
      <c r="BC6" s="30"/>
    </row>
    <row r="7" spans="1:55" ht="12.75">
      <c r="A7" s="40" t="s">
        <v>275</v>
      </c>
      <c r="B7" s="31">
        <v>7155854</v>
      </c>
      <c r="C7" s="31">
        <v>4948934</v>
      </c>
      <c r="D7" s="31">
        <v>2057319</v>
      </c>
      <c r="E7" s="110">
        <v>1113966</v>
      </c>
      <c r="F7" s="110">
        <v>1823904.956</v>
      </c>
      <c r="G7" s="31">
        <v>994551</v>
      </c>
      <c r="H7" s="31">
        <v>959229</v>
      </c>
      <c r="I7" s="31">
        <v>1901454</v>
      </c>
      <c r="J7" s="31">
        <v>1887523</v>
      </c>
      <c r="K7" s="31">
        <v>964559</v>
      </c>
      <c r="L7" s="31">
        <v>598010</v>
      </c>
      <c r="M7" s="31">
        <v>490741</v>
      </c>
      <c r="N7" s="31">
        <v>560069</v>
      </c>
      <c r="O7" s="110">
        <v>470008</v>
      </c>
      <c r="P7" s="31">
        <v>368523</v>
      </c>
      <c r="Q7" s="110">
        <v>762152</v>
      </c>
      <c r="R7" s="110">
        <v>520900</v>
      </c>
      <c r="S7" s="191">
        <v>139594</v>
      </c>
      <c r="T7" s="110">
        <v>291842</v>
      </c>
      <c r="U7" s="110">
        <v>243590.529</v>
      </c>
      <c r="V7" s="110">
        <v>364072</v>
      </c>
      <c r="W7" s="191">
        <v>314794</v>
      </c>
      <c r="X7" s="110">
        <v>356191</v>
      </c>
      <c r="Y7" s="31">
        <v>679642.836</v>
      </c>
      <c r="Z7" s="31">
        <v>1525198</v>
      </c>
      <c r="AA7" s="31">
        <v>89022</v>
      </c>
      <c r="AB7" s="110">
        <v>215464</v>
      </c>
      <c r="AC7" s="31">
        <v>609918.11</v>
      </c>
      <c r="AD7" s="110">
        <v>289545</v>
      </c>
      <c r="AE7" s="31">
        <v>0</v>
      </c>
      <c r="AF7" s="31">
        <v>81457</v>
      </c>
      <c r="AG7" s="110">
        <v>55384</v>
      </c>
      <c r="AH7" s="110">
        <v>0</v>
      </c>
      <c r="AI7" s="31">
        <v>27836</v>
      </c>
      <c r="AJ7" s="31">
        <v>46615</v>
      </c>
      <c r="AK7" s="31">
        <v>55304</v>
      </c>
      <c r="AL7" s="31">
        <v>0</v>
      </c>
      <c r="AM7" s="110">
        <v>0</v>
      </c>
      <c r="AN7" s="31">
        <v>106544</v>
      </c>
      <c r="AO7" s="110">
        <v>11046</v>
      </c>
      <c r="AP7" s="110">
        <v>0</v>
      </c>
      <c r="AQ7" s="110">
        <v>0</v>
      </c>
      <c r="AR7" s="110">
        <v>20366</v>
      </c>
      <c r="AS7" s="31">
        <v>0</v>
      </c>
      <c r="AT7" s="110">
        <v>0</v>
      </c>
      <c r="AU7" s="110">
        <v>4344</v>
      </c>
      <c r="AV7" s="110">
        <v>3285</v>
      </c>
      <c r="AW7" s="31">
        <v>0</v>
      </c>
      <c r="AX7" s="31">
        <v>7093.786</v>
      </c>
      <c r="AY7" s="31">
        <v>0</v>
      </c>
      <c r="BB7" s="41">
        <f>SUM(B7:AY7)</f>
        <v>33115845.216999996</v>
      </c>
      <c r="BC7" s="30"/>
    </row>
    <row r="8" spans="1:55" ht="12.75">
      <c r="A8" s="40" t="s">
        <v>276</v>
      </c>
      <c r="B8" s="31">
        <v>-46525</v>
      </c>
      <c r="C8" s="31">
        <v>0</v>
      </c>
      <c r="D8" s="31">
        <v>-41802</v>
      </c>
      <c r="E8" s="110">
        <v>-2492</v>
      </c>
      <c r="F8" s="110">
        <v>38991.395</v>
      </c>
      <c r="G8" s="31">
        <v>-5843</v>
      </c>
      <c r="H8" s="31">
        <v>-28935</v>
      </c>
      <c r="I8" s="31">
        <v>87529</v>
      </c>
      <c r="J8" s="31">
        <v>-545858</v>
      </c>
      <c r="K8" s="31">
        <v>2035</v>
      </c>
      <c r="L8" s="31">
        <v>662</v>
      </c>
      <c r="M8" s="31">
        <v>-5501</v>
      </c>
      <c r="N8" s="31">
        <v>-951</v>
      </c>
      <c r="O8" s="110">
        <v>-2538</v>
      </c>
      <c r="P8" s="31">
        <v>-4851</v>
      </c>
      <c r="Q8" s="110">
        <v>-8359</v>
      </c>
      <c r="R8" s="110">
        <v>-2634</v>
      </c>
      <c r="S8" s="191">
        <v>16</v>
      </c>
      <c r="T8" s="110">
        <v>-3115</v>
      </c>
      <c r="U8" s="110">
        <v>3495.992</v>
      </c>
      <c r="V8" s="110">
        <v>-3504</v>
      </c>
      <c r="W8" s="191">
        <v>-11348</v>
      </c>
      <c r="X8" s="110">
        <v>0</v>
      </c>
      <c r="Y8" s="31">
        <v>-277842.586</v>
      </c>
      <c r="Z8" s="31">
        <v>-6997</v>
      </c>
      <c r="AA8" s="31">
        <v>0</v>
      </c>
      <c r="AB8" s="110">
        <v>-8045</v>
      </c>
      <c r="AC8" s="31">
        <v>-78029.52900000001</v>
      </c>
      <c r="AD8" s="110">
        <v>-10942</v>
      </c>
      <c r="AE8" s="31">
        <v>-772</v>
      </c>
      <c r="AF8" s="31">
        <v>-4224</v>
      </c>
      <c r="AG8" s="110">
        <v>167</v>
      </c>
      <c r="AH8" s="110">
        <v>0</v>
      </c>
      <c r="AI8" s="31">
        <v>583</v>
      </c>
      <c r="AJ8" s="31">
        <v>0</v>
      </c>
      <c r="AK8" s="31"/>
      <c r="AL8" s="31">
        <v>0</v>
      </c>
      <c r="AM8" s="110">
        <v>-273</v>
      </c>
      <c r="AN8" s="31">
        <v>-243</v>
      </c>
      <c r="AO8" s="110">
        <v>-80</v>
      </c>
      <c r="AP8" s="110">
        <v>0</v>
      </c>
      <c r="AQ8" s="110">
        <v>-624</v>
      </c>
      <c r="AR8" s="110">
        <v>-159</v>
      </c>
      <c r="AS8" s="31">
        <v>0</v>
      </c>
      <c r="AT8" s="110">
        <v>-0.312</v>
      </c>
      <c r="AU8" s="110">
        <v>0</v>
      </c>
      <c r="AV8" s="110">
        <v>-82</v>
      </c>
      <c r="AW8" s="31">
        <v>0</v>
      </c>
      <c r="AX8" s="31">
        <v>0</v>
      </c>
      <c r="AY8" s="31">
        <v>0</v>
      </c>
      <c r="BB8" s="41">
        <f>SUM(B8:AY8)</f>
        <v>-969090.04</v>
      </c>
      <c r="BC8" s="30"/>
    </row>
    <row r="9" spans="1:55" ht="12.75">
      <c r="A9" s="40" t="s">
        <v>277</v>
      </c>
      <c r="B9" s="31">
        <v>13554645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110">
        <v>0</v>
      </c>
      <c r="P9" s="31">
        <v>0</v>
      </c>
      <c r="Q9" s="31">
        <v>0</v>
      </c>
      <c r="R9" s="31">
        <v>0</v>
      </c>
      <c r="S9" s="191">
        <v>1241902</v>
      </c>
      <c r="T9" s="110">
        <v>0</v>
      </c>
      <c r="U9" s="110">
        <v>0</v>
      </c>
      <c r="V9" s="110">
        <f>437278+5972025</f>
        <v>6409303</v>
      </c>
      <c r="W9" s="191">
        <v>0</v>
      </c>
      <c r="X9" s="110">
        <v>0</v>
      </c>
      <c r="Y9" s="31">
        <v>0</v>
      </c>
      <c r="Z9" s="31">
        <v>0</v>
      </c>
      <c r="AA9" s="31">
        <v>0</v>
      </c>
      <c r="AB9" s="110">
        <v>0</v>
      </c>
      <c r="AC9" s="110">
        <v>0</v>
      </c>
      <c r="AD9" s="110">
        <v>0</v>
      </c>
      <c r="AE9" s="31">
        <v>0</v>
      </c>
      <c r="AF9" s="31">
        <v>0</v>
      </c>
      <c r="AG9" s="31">
        <v>0</v>
      </c>
      <c r="AH9" s="31">
        <v>0</v>
      </c>
      <c r="AI9" s="31">
        <v>44499</v>
      </c>
      <c r="AJ9" s="31">
        <v>0</v>
      </c>
      <c r="AK9" s="31">
        <v>54350</v>
      </c>
      <c r="AL9" s="31">
        <v>0</v>
      </c>
      <c r="AM9" s="110">
        <v>12099</v>
      </c>
      <c r="AN9" s="31">
        <v>0</v>
      </c>
      <c r="AO9" s="31">
        <v>0</v>
      </c>
      <c r="AP9" s="31">
        <v>0</v>
      </c>
      <c r="AQ9" s="31">
        <v>0</v>
      </c>
      <c r="AR9" s="110">
        <v>34711</v>
      </c>
      <c r="AS9" s="31">
        <v>1188</v>
      </c>
      <c r="AT9" s="110">
        <v>0</v>
      </c>
      <c r="AU9" s="110">
        <v>24639</v>
      </c>
      <c r="AV9" s="110">
        <v>19091</v>
      </c>
      <c r="AW9" s="110">
        <v>130000</v>
      </c>
      <c r="AX9" s="31">
        <v>15239.991</v>
      </c>
      <c r="AY9" s="31">
        <v>0</v>
      </c>
      <c r="BB9" s="41">
        <f>SUM(B9:AY9)</f>
        <v>21541666.991</v>
      </c>
      <c r="BC9" s="30"/>
    </row>
    <row r="10" spans="1:55" ht="7.5" customHeight="1">
      <c r="A10" s="85"/>
      <c r="C10" s="34"/>
      <c r="D10" s="31"/>
      <c r="E10" s="34"/>
      <c r="F10" s="34"/>
      <c r="M10" s="34"/>
      <c r="O10" s="42"/>
      <c r="Q10" s="34"/>
      <c r="R10" s="34"/>
      <c r="S10" s="191"/>
      <c r="T10" s="34"/>
      <c r="U10" s="34"/>
      <c r="V10" s="34"/>
      <c r="W10" s="191"/>
      <c r="X10" s="34"/>
      <c r="AB10" s="34"/>
      <c r="AD10" s="42"/>
      <c r="AG10" s="34"/>
      <c r="AH10" s="34"/>
      <c r="AI10" s="79"/>
      <c r="AM10" s="34"/>
      <c r="AO10" s="34"/>
      <c r="AP10" s="34"/>
      <c r="AQ10" s="34"/>
      <c r="AR10" s="34"/>
      <c r="AT10" s="34"/>
      <c r="AU10" s="34"/>
      <c r="AV10" s="34"/>
      <c r="AW10" s="34"/>
      <c r="BC10" s="30"/>
    </row>
    <row r="11" spans="1:55" ht="12.75">
      <c r="A11" s="284" t="s">
        <v>278</v>
      </c>
      <c r="B11" s="30">
        <f>SUM(B6:B10)</f>
        <v>23802502</v>
      </c>
      <c r="C11" s="30">
        <f aca="true" t="shared" si="0" ref="C11:L11">SUM(C6:C10)</f>
        <v>8248223</v>
      </c>
      <c r="D11" s="30">
        <f t="shared" si="0"/>
        <v>3292022</v>
      </c>
      <c r="E11" s="30">
        <f t="shared" si="0"/>
        <v>1857293</v>
      </c>
      <c r="F11" s="30">
        <f t="shared" si="0"/>
        <v>3117378.803</v>
      </c>
      <c r="G11" s="30">
        <f t="shared" si="0"/>
        <v>1663242</v>
      </c>
      <c r="H11" s="30">
        <f t="shared" si="0"/>
        <v>1559538</v>
      </c>
      <c r="I11" s="30">
        <f t="shared" si="0"/>
        <v>3475590</v>
      </c>
      <c r="J11" s="30">
        <f t="shared" si="0"/>
        <v>2719381</v>
      </c>
      <c r="K11" s="30">
        <f t="shared" si="0"/>
        <v>1616904</v>
      </c>
      <c r="L11" s="30">
        <f t="shared" si="0"/>
        <v>884694</v>
      </c>
      <c r="M11" s="30">
        <f aca="true" t="shared" si="1" ref="M11:AY11">SUM(M6:M10)</f>
        <v>807707</v>
      </c>
      <c r="N11" s="30">
        <f t="shared" si="1"/>
        <v>953560</v>
      </c>
      <c r="O11" s="30">
        <f t="shared" si="1"/>
        <v>768241</v>
      </c>
      <c r="P11" s="30">
        <f t="shared" si="1"/>
        <v>606907</v>
      </c>
      <c r="Q11" s="30">
        <f t="shared" si="1"/>
        <v>1296608</v>
      </c>
      <c r="R11" s="30">
        <f t="shared" si="1"/>
        <v>865533</v>
      </c>
      <c r="S11" s="30">
        <f t="shared" si="1"/>
        <v>1465149</v>
      </c>
      <c r="T11" s="30">
        <f t="shared" si="1"/>
        <v>483289</v>
      </c>
      <c r="U11" s="30">
        <f t="shared" si="1"/>
        <v>373170.03500000003</v>
      </c>
      <c r="V11" s="30">
        <f t="shared" si="1"/>
        <v>6904024</v>
      </c>
      <c r="W11" s="30">
        <f t="shared" si="1"/>
        <v>502434</v>
      </c>
      <c r="X11" s="30">
        <f t="shared" si="1"/>
        <v>445239</v>
      </c>
      <c r="Y11" s="30">
        <f t="shared" si="1"/>
        <v>877797.1630000001</v>
      </c>
      <c r="Z11" s="30">
        <f t="shared" si="1"/>
        <v>2110751</v>
      </c>
      <c r="AA11" s="30">
        <f t="shared" si="1"/>
        <v>112970</v>
      </c>
      <c r="AB11" s="30">
        <f t="shared" si="1"/>
        <v>351061</v>
      </c>
      <c r="AC11" s="30">
        <f t="shared" si="1"/>
        <v>1161152.596</v>
      </c>
      <c r="AD11" s="30">
        <f t="shared" si="1"/>
        <v>278603</v>
      </c>
      <c r="AE11" s="30">
        <f t="shared" si="1"/>
        <v>-772</v>
      </c>
      <c r="AF11" s="30">
        <f t="shared" si="1"/>
        <v>128981</v>
      </c>
      <c r="AG11" s="30">
        <f t="shared" si="1"/>
        <v>92473</v>
      </c>
      <c r="AH11" s="30">
        <f t="shared" si="1"/>
        <v>0</v>
      </c>
      <c r="AI11" s="30">
        <f t="shared" si="1"/>
        <v>91475</v>
      </c>
      <c r="AJ11" s="30">
        <f t="shared" si="1"/>
        <v>80745</v>
      </c>
      <c r="AK11" s="30">
        <f t="shared" si="1"/>
        <v>131340</v>
      </c>
      <c r="AL11" s="30">
        <f t="shared" si="1"/>
        <v>0</v>
      </c>
      <c r="AM11" s="30">
        <f t="shared" si="1"/>
        <v>11826</v>
      </c>
      <c r="AN11" s="30">
        <f t="shared" si="1"/>
        <v>127810</v>
      </c>
      <c r="AO11" s="30">
        <f t="shared" si="1"/>
        <v>18330</v>
      </c>
      <c r="AP11" s="30">
        <f t="shared" si="1"/>
        <v>0</v>
      </c>
      <c r="AQ11" s="30">
        <f t="shared" si="1"/>
        <v>-624</v>
      </c>
      <c r="AR11" s="30">
        <f t="shared" si="1"/>
        <v>68495</v>
      </c>
      <c r="AS11" s="30">
        <f t="shared" si="1"/>
        <v>1188</v>
      </c>
      <c r="AT11" s="30">
        <f t="shared" si="1"/>
        <v>-0.312</v>
      </c>
      <c r="AU11" s="30">
        <f t="shared" si="1"/>
        <v>31879</v>
      </c>
      <c r="AV11" s="30">
        <f t="shared" si="1"/>
        <v>24484</v>
      </c>
      <c r="AW11" s="30">
        <f t="shared" si="1"/>
        <v>130000</v>
      </c>
      <c r="AX11" s="30">
        <f t="shared" si="1"/>
        <v>27062.968</v>
      </c>
      <c r="AY11" s="30">
        <f t="shared" si="1"/>
        <v>0</v>
      </c>
      <c r="BB11" s="41">
        <f>SUM(B11:AY11)</f>
        <v>73565656.25299999</v>
      </c>
      <c r="BC11" s="30"/>
    </row>
    <row r="12" spans="1:55" ht="7.5" customHeight="1">
      <c r="A12" s="38"/>
      <c r="C12" s="34"/>
      <c r="D12" s="31"/>
      <c r="E12" s="34"/>
      <c r="F12" s="34"/>
      <c r="M12" s="34"/>
      <c r="O12" s="42"/>
      <c r="Q12" s="34"/>
      <c r="R12" s="34"/>
      <c r="S12" s="191"/>
      <c r="T12" s="34"/>
      <c r="U12" s="34"/>
      <c r="V12" s="34"/>
      <c r="W12" s="191"/>
      <c r="X12" s="34"/>
      <c r="AB12" s="34"/>
      <c r="AD12" s="42"/>
      <c r="AG12" s="34"/>
      <c r="AH12" s="34"/>
      <c r="AI12" s="79"/>
      <c r="AM12" s="34"/>
      <c r="AO12" s="34"/>
      <c r="AP12" s="34"/>
      <c r="AQ12" s="34"/>
      <c r="AR12" s="34"/>
      <c r="AT12" s="34"/>
      <c r="AU12" s="34"/>
      <c r="AV12" s="34"/>
      <c r="AW12" s="34"/>
      <c r="BC12" s="30"/>
    </row>
    <row r="13" spans="1:55" ht="12.75">
      <c r="A13" s="38" t="s">
        <v>279</v>
      </c>
      <c r="C13" s="34"/>
      <c r="D13" s="31"/>
      <c r="E13" s="34"/>
      <c r="F13" s="34"/>
      <c r="M13" s="34"/>
      <c r="O13" s="42"/>
      <c r="Q13" s="34"/>
      <c r="R13" s="34"/>
      <c r="S13" s="191"/>
      <c r="T13" s="34"/>
      <c r="U13" s="34"/>
      <c r="V13" s="34"/>
      <c r="W13" s="191"/>
      <c r="X13" s="34"/>
      <c r="AB13" s="34"/>
      <c r="AD13" s="42"/>
      <c r="AG13" s="34"/>
      <c r="AH13" s="34"/>
      <c r="AI13" s="79"/>
      <c r="AM13" s="34"/>
      <c r="AO13" s="34"/>
      <c r="AP13" s="34"/>
      <c r="AQ13" s="34"/>
      <c r="AR13" s="34"/>
      <c r="AT13" s="34"/>
      <c r="AU13" s="34"/>
      <c r="AV13" s="34"/>
      <c r="AW13" s="34"/>
      <c r="BC13" s="30"/>
    </row>
    <row r="14" spans="1:55" ht="12.75">
      <c r="A14" s="40" t="s">
        <v>280</v>
      </c>
      <c r="B14" s="31">
        <v>10421414</v>
      </c>
      <c r="C14" s="31">
        <v>2352924</v>
      </c>
      <c r="D14" s="31">
        <v>2127510</v>
      </c>
      <c r="E14" s="110">
        <v>1281622</v>
      </c>
      <c r="F14" s="110">
        <v>1594867.995</v>
      </c>
      <c r="G14" s="41">
        <v>1060652</v>
      </c>
      <c r="H14" s="31">
        <v>308700</v>
      </c>
      <c r="I14" s="31">
        <v>192793</v>
      </c>
      <c r="J14" s="31">
        <v>299409</v>
      </c>
      <c r="K14" s="31">
        <v>273744</v>
      </c>
      <c r="L14" s="31">
        <v>644104</v>
      </c>
      <c r="M14" s="31">
        <v>839303</v>
      </c>
      <c r="N14" s="31">
        <v>440685</v>
      </c>
      <c r="O14" s="110">
        <v>329997</v>
      </c>
      <c r="P14" s="31">
        <v>369620</v>
      </c>
      <c r="Q14" s="110">
        <v>147115</v>
      </c>
      <c r="R14" s="110">
        <v>510402</v>
      </c>
      <c r="S14" s="191">
        <v>644365</v>
      </c>
      <c r="T14" s="110">
        <v>316017</v>
      </c>
      <c r="U14" s="110">
        <v>650939.998</v>
      </c>
      <c r="V14" s="110">
        <f>1271363</f>
        <v>1271363</v>
      </c>
      <c r="W14" s="191">
        <v>308189</v>
      </c>
      <c r="X14" s="110">
        <v>284510</v>
      </c>
      <c r="Y14" s="31">
        <v>92163.24799999999</v>
      </c>
      <c r="Z14" s="31">
        <v>38284</v>
      </c>
      <c r="AA14" s="31">
        <v>253912</v>
      </c>
      <c r="AB14" s="110">
        <v>192074</v>
      </c>
      <c r="AC14" s="31">
        <v>42225.375</v>
      </c>
      <c r="AD14" s="110">
        <v>85241</v>
      </c>
      <c r="AE14" s="31">
        <v>150496</v>
      </c>
      <c r="AF14" s="31">
        <v>67741</v>
      </c>
      <c r="AG14" s="110">
        <v>59231</v>
      </c>
      <c r="AH14" s="110">
        <v>96112</v>
      </c>
      <c r="AI14" s="31">
        <v>88999</v>
      </c>
      <c r="AJ14" s="31">
        <v>33283</v>
      </c>
      <c r="AK14" s="31">
        <f>44763+54350</f>
        <v>99113</v>
      </c>
      <c r="AL14" s="31">
        <v>51745.651</v>
      </c>
      <c r="AM14" s="110">
        <v>75175</v>
      </c>
      <c r="AN14" s="31">
        <v>170772</v>
      </c>
      <c r="AO14" s="110">
        <v>57072</v>
      </c>
      <c r="AP14" s="110">
        <v>37648</v>
      </c>
      <c r="AQ14" s="110">
        <v>40237</v>
      </c>
      <c r="AR14" s="110">
        <v>67086</v>
      </c>
      <c r="AS14" s="31">
        <v>39687</v>
      </c>
      <c r="AT14" s="110">
        <v>38358.02</v>
      </c>
      <c r="AU14" s="110">
        <v>36454</v>
      </c>
      <c r="AV14" s="110">
        <v>29035</v>
      </c>
      <c r="AW14" s="110">
        <v>140115</v>
      </c>
      <c r="AX14" s="31">
        <v>52654.956</v>
      </c>
      <c r="AY14" s="31">
        <v>942</v>
      </c>
      <c r="BB14" s="41">
        <f>SUM(B14:AY14)</f>
        <v>28806102.243</v>
      </c>
      <c r="BC14" s="30"/>
    </row>
    <row r="15" spans="1:55" ht="12.75">
      <c r="A15" s="40" t="s">
        <v>281</v>
      </c>
      <c r="B15" s="31">
        <v>0</v>
      </c>
      <c r="C15" s="31">
        <v>-3009</v>
      </c>
      <c r="D15" s="31">
        <v>-41483</v>
      </c>
      <c r="E15" s="110">
        <v>-682</v>
      </c>
      <c r="F15" s="110">
        <v>-13447.52</v>
      </c>
      <c r="G15" s="31">
        <v>-15502</v>
      </c>
      <c r="H15" s="31">
        <v>0</v>
      </c>
      <c r="I15" s="31">
        <v>0</v>
      </c>
      <c r="J15" s="31">
        <v>0</v>
      </c>
      <c r="K15" s="31">
        <v>-511</v>
      </c>
      <c r="L15" s="31">
        <v>0</v>
      </c>
      <c r="M15" s="31">
        <v>-6543</v>
      </c>
      <c r="N15" s="31">
        <v>-4870</v>
      </c>
      <c r="O15" s="110">
        <v>0</v>
      </c>
      <c r="P15" s="31">
        <v>-5515</v>
      </c>
      <c r="Q15" s="110">
        <v>0</v>
      </c>
      <c r="R15" s="110">
        <v>-7411</v>
      </c>
      <c r="S15" s="191">
        <v>0</v>
      </c>
      <c r="T15" s="110">
        <v>-2554</v>
      </c>
      <c r="U15" s="110">
        <v>-63965.238</v>
      </c>
      <c r="V15" s="110">
        <v>0</v>
      </c>
      <c r="W15" s="191">
        <v>-5882</v>
      </c>
      <c r="X15" s="110">
        <v>0</v>
      </c>
      <c r="Y15" s="31">
        <v>0</v>
      </c>
      <c r="Z15" s="31">
        <v>0</v>
      </c>
      <c r="AA15" s="31">
        <v>0</v>
      </c>
      <c r="AB15" s="110">
        <v>-2483</v>
      </c>
      <c r="AC15" s="31">
        <v>0</v>
      </c>
      <c r="AD15" s="110">
        <v>0</v>
      </c>
      <c r="AE15" s="31">
        <v>0</v>
      </c>
      <c r="AF15" s="31">
        <v>-184</v>
      </c>
      <c r="AG15" s="110">
        <v>-882</v>
      </c>
      <c r="AH15" s="110">
        <v>0</v>
      </c>
      <c r="AI15" s="31">
        <v>0</v>
      </c>
      <c r="AJ15" s="31">
        <v>0</v>
      </c>
      <c r="AK15" s="31">
        <v>9556</v>
      </c>
      <c r="AL15" s="31">
        <v>0</v>
      </c>
      <c r="AM15" s="110">
        <v>-289</v>
      </c>
      <c r="AN15" s="31">
        <v>0</v>
      </c>
      <c r="AO15" s="110">
        <v>0</v>
      </c>
      <c r="AP15" s="110">
        <v>0</v>
      </c>
      <c r="AQ15" s="110">
        <v>-510</v>
      </c>
      <c r="AR15" s="110">
        <v>0</v>
      </c>
      <c r="AS15" s="31">
        <v>-959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BB15" s="41">
        <f>SUM(B15:AY15)</f>
        <v>-167125.758</v>
      </c>
      <c r="BC15" s="30"/>
    </row>
    <row r="16" spans="1:55" ht="12.75">
      <c r="A16" s="40" t="s">
        <v>282</v>
      </c>
      <c r="B16" s="31">
        <v>1788</v>
      </c>
      <c r="C16" s="31">
        <v>1365</v>
      </c>
      <c r="D16" s="31">
        <v>10595</v>
      </c>
      <c r="E16" s="110">
        <v>4620</v>
      </c>
      <c r="F16" s="110">
        <v>2862.866</v>
      </c>
      <c r="G16" s="31">
        <v>2944</v>
      </c>
      <c r="H16" s="31">
        <v>805</v>
      </c>
      <c r="I16" s="31">
        <v>22</v>
      </c>
      <c r="J16" s="31">
        <v>0</v>
      </c>
      <c r="K16" s="31">
        <v>1143</v>
      </c>
      <c r="L16" s="31">
        <v>0</v>
      </c>
      <c r="M16" s="31">
        <v>1109</v>
      </c>
      <c r="N16" s="31">
        <v>1021</v>
      </c>
      <c r="O16" s="110">
        <v>0</v>
      </c>
      <c r="P16" s="31">
        <v>1535</v>
      </c>
      <c r="Q16" s="110">
        <v>120</v>
      </c>
      <c r="R16" s="110">
        <v>1356</v>
      </c>
      <c r="S16" s="191">
        <v>20</v>
      </c>
      <c r="T16" s="110">
        <v>307</v>
      </c>
      <c r="U16" s="110">
        <v>463.589</v>
      </c>
      <c r="V16" s="110">
        <v>32</v>
      </c>
      <c r="W16" s="191">
        <v>1136</v>
      </c>
      <c r="X16" s="110">
        <v>303</v>
      </c>
      <c r="Y16" s="31">
        <v>0</v>
      </c>
      <c r="Z16" s="31">
        <v>112</v>
      </c>
      <c r="AA16" s="31">
        <v>0</v>
      </c>
      <c r="AB16" s="110">
        <v>0</v>
      </c>
      <c r="AC16" s="31">
        <v>0</v>
      </c>
      <c r="AD16" s="110">
        <v>0</v>
      </c>
      <c r="AE16" s="31">
        <v>0</v>
      </c>
      <c r="AF16" s="31">
        <v>79</v>
      </c>
      <c r="AG16" s="110">
        <v>0</v>
      </c>
      <c r="AH16" s="110">
        <v>0</v>
      </c>
      <c r="AI16" s="110">
        <v>0</v>
      </c>
      <c r="AJ16" s="31">
        <v>87</v>
      </c>
      <c r="AK16" s="31">
        <v>373</v>
      </c>
      <c r="AL16" s="31">
        <v>77.246</v>
      </c>
      <c r="AM16" s="110">
        <v>40</v>
      </c>
      <c r="AN16" s="31">
        <v>13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BB16" s="41">
        <f>SUM(B16:AY16)</f>
        <v>34328.701</v>
      </c>
      <c r="BC16" s="30"/>
    </row>
    <row r="17" spans="1:55" ht="12.75">
      <c r="A17" s="40" t="s">
        <v>283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110">
        <v>0</v>
      </c>
      <c r="N17" s="31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91">
        <v>0</v>
      </c>
      <c r="X17" s="110">
        <v>0</v>
      </c>
      <c r="Y17" s="31">
        <v>0</v>
      </c>
      <c r="Z17" s="31">
        <v>0</v>
      </c>
      <c r="AA17" s="31">
        <v>0</v>
      </c>
      <c r="AB17" s="110">
        <v>0</v>
      </c>
      <c r="AC17" s="31">
        <v>329.68100000000004</v>
      </c>
      <c r="AD17" s="110">
        <v>0</v>
      </c>
      <c r="AE17" s="31">
        <v>0</v>
      </c>
      <c r="AF17" s="31">
        <v>0</v>
      </c>
      <c r="AG17" s="110">
        <v>0</v>
      </c>
      <c r="AH17" s="110">
        <v>0</v>
      </c>
      <c r="AI17" s="110">
        <v>0</v>
      </c>
      <c r="AJ17" s="31">
        <v>0</v>
      </c>
      <c r="AK17" s="31">
        <v>2935</v>
      </c>
      <c r="AL17" s="31">
        <v>0</v>
      </c>
      <c r="AM17" s="31">
        <v>0</v>
      </c>
      <c r="AN17" s="31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BB17" s="41">
        <f>SUM(B17:AY17)</f>
        <v>3264.681</v>
      </c>
      <c r="BC17" s="30"/>
    </row>
    <row r="18" spans="1:55" ht="5.25" customHeight="1">
      <c r="A18" s="85"/>
      <c r="C18" s="34"/>
      <c r="D18" s="31"/>
      <c r="E18" s="34"/>
      <c r="F18" s="34"/>
      <c r="G18" s="31"/>
      <c r="M18" s="34"/>
      <c r="O18" s="42"/>
      <c r="Q18" s="34"/>
      <c r="R18" s="34"/>
      <c r="S18" s="191"/>
      <c r="T18" s="34"/>
      <c r="U18" s="34"/>
      <c r="V18" s="34"/>
      <c r="W18" s="191"/>
      <c r="X18" s="34"/>
      <c r="AB18" s="34"/>
      <c r="AD18" s="42"/>
      <c r="AG18" s="34"/>
      <c r="AH18" s="34"/>
      <c r="AI18" s="79"/>
      <c r="AM18" s="34"/>
      <c r="AO18" s="34"/>
      <c r="AP18" s="34"/>
      <c r="AQ18" s="34"/>
      <c r="AT18" s="34"/>
      <c r="AU18" s="34"/>
      <c r="AV18" s="34"/>
      <c r="AW18" s="34"/>
      <c r="BC18" s="30"/>
    </row>
    <row r="19" spans="1:55" ht="12.75">
      <c r="A19" s="284" t="s">
        <v>284</v>
      </c>
      <c r="B19" s="30">
        <f>SUM(B14:B18)</f>
        <v>10423202</v>
      </c>
      <c r="C19" s="30">
        <f aca="true" t="shared" si="2" ref="C19:AY19">SUM(C14:C18)</f>
        <v>2351280</v>
      </c>
      <c r="D19" s="30">
        <f t="shared" si="2"/>
        <v>2096622</v>
      </c>
      <c r="E19" s="30">
        <f t="shared" si="2"/>
        <v>1285560</v>
      </c>
      <c r="F19" s="30">
        <f t="shared" si="2"/>
        <v>1584283.341</v>
      </c>
      <c r="G19" s="30">
        <f t="shared" si="2"/>
        <v>1048094</v>
      </c>
      <c r="H19" s="30">
        <f t="shared" si="2"/>
        <v>309505</v>
      </c>
      <c r="I19" s="30">
        <f t="shared" si="2"/>
        <v>192815</v>
      </c>
      <c r="J19" s="30">
        <f t="shared" si="2"/>
        <v>299409</v>
      </c>
      <c r="K19" s="30">
        <f t="shared" si="2"/>
        <v>274376</v>
      </c>
      <c r="L19" s="30">
        <f t="shared" si="2"/>
        <v>644104</v>
      </c>
      <c r="M19" s="30">
        <f t="shared" si="2"/>
        <v>833869</v>
      </c>
      <c r="N19" s="30">
        <f t="shared" si="2"/>
        <v>436836</v>
      </c>
      <c r="O19" s="30">
        <f t="shared" si="2"/>
        <v>329997</v>
      </c>
      <c r="P19" s="30">
        <f t="shared" si="2"/>
        <v>365640</v>
      </c>
      <c r="Q19" s="30">
        <f t="shared" si="2"/>
        <v>147235</v>
      </c>
      <c r="R19" s="30">
        <f t="shared" si="2"/>
        <v>504347</v>
      </c>
      <c r="S19" s="30">
        <f t="shared" si="2"/>
        <v>644385</v>
      </c>
      <c r="T19" s="30">
        <f t="shared" si="2"/>
        <v>313770</v>
      </c>
      <c r="U19" s="30">
        <f t="shared" si="2"/>
        <v>587438.349</v>
      </c>
      <c r="V19" s="30">
        <f t="shared" si="2"/>
        <v>1271395</v>
      </c>
      <c r="W19" s="30">
        <f t="shared" si="2"/>
        <v>303443</v>
      </c>
      <c r="X19" s="30">
        <f t="shared" si="2"/>
        <v>284813</v>
      </c>
      <c r="Y19" s="30">
        <f t="shared" si="2"/>
        <v>92163.24799999999</v>
      </c>
      <c r="Z19" s="30">
        <f t="shared" si="2"/>
        <v>38396</v>
      </c>
      <c r="AA19" s="30">
        <f t="shared" si="2"/>
        <v>253912</v>
      </c>
      <c r="AB19" s="30">
        <f t="shared" si="2"/>
        <v>189591</v>
      </c>
      <c r="AC19" s="30">
        <f t="shared" si="2"/>
        <v>42555.056</v>
      </c>
      <c r="AD19" s="30">
        <f t="shared" si="2"/>
        <v>85241</v>
      </c>
      <c r="AE19" s="30">
        <f t="shared" si="2"/>
        <v>150496</v>
      </c>
      <c r="AF19" s="30">
        <f t="shared" si="2"/>
        <v>67636</v>
      </c>
      <c r="AG19" s="30">
        <f t="shared" si="2"/>
        <v>58349</v>
      </c>
      <c r="AH19" s="30">
        <f t="shared" si="2"/>
        <v>96112</v>
      </c>
      <c r="AI19" s="30">
        <f t="shared" si="2"/>
        <v>88999</v>
      </c>
      <c r="AJ19" s="30">
        <f t="shared" si="2"/>
        <v>33370</v>
      </c>
      <c r="AK19" s="30">
        <f t="shared" si="2"/>
        <v>111977</v>
      </c>
      <c r="AL19" s="30">
        <f t="shared" si="2"/>
        <v>51822.897</v>
      </c>
      <c r="AM19" s="30">
        <f t="shared" si="2"/>
        <v>74926</v>
      </c>
      <c r="AN19" s="30">
        <f t="shared" si="2"/>
        <v>170785</v>
      </c>
      <c r="AO19" s="30">
        <f t="shared" si="2"/>
        <v>57072</v>
      </c>
      <c r="AP19" s="30">
        <f t="shared" si="2"/>
        <v>37648</v>
      </c>
      <c r="AQ19" s="30">
        <f t="shared" si="2"/>
        <v>39727</v>
      </c>
      <c r="AR19" s="30">
        <f t="shared" si="2"/>
        <v>67086</v>
      </c>
      <c r="AS19" s="30">
        <f t="shared" si="2"/>
        <v>38728</v>
      </c>
      <c r="AT19" s="30">
        <f t="shared" si="2"/>
        <v>38358.02</v>
      </c>
      <c r="AU19" s="30">
        <f t="shared" si="2"/>
        <v>36454</v>
      </c>
      <c r="AV19" s="30">
        <f t="shared" si="2"/>
        <v>29035</v>
      </c>
      <c r="AW19" s="30">
        <f t="shared" si="2"/>
        <v>140115</v>
      </c>
      <c r="AX19" s="30">
        <f t="shared" si="2"/>
        <v>52654.956</v>
      </c>
      <c r="AY19" s="30">
        <f t="shared" si="2"/>
        <v>942</v>
      </c>
      <c r="BA19" s="30"/>
      <c r="BB19" s="41">
        <f>SUM(B19:AY19)</f>
        <v>28676569.867</v>
      </c>
      <c r="BC19" s="30"/>
    </row>
    <row r="20" spans="1:55" ht="6" customHeight="1">
      <c r="A20" s="38"/>
      <c r="C20" s="34"/>
      <c r="D20" s="31"/>
      <c r="E20" s="34"/>
      <c r="F20" s="34"/>
      <c r="G20" s="30"/>
      <c r="M20" s="34"/>
      <c r="O20" s="42"/>
      <c r="Q20" s="34"/>
      <c r="R20" s="34"/>
      <c r="S20" s="191"/>
      <c r="T20" s="34"/>
      <c r="U20" s="34"/>
      <c r="V20" s="34"/>
      <c r="W20" s="191"/>
      <c r="X20" s="34"/>
      <c r="AB20" s="34"/>
      <c r="AD20" s="42"/>
      <c r="AG20" s="34"/>
      <c r="AH20" s="34"/>
      <c r="AI20" s="79"/>
      <c r="AM20" s="34"/>
      <c r="AO20" s="34"/>
      <c r="AP20" s="34"/>
      <c r="AQ20" s="34"/>
      <c r="AR20" s="34"/>
      <c r="AT20" s="34"/>
      <c r="AU20" s="34"/>
      <c r="AV20" s="34"/>
      <c r="AW20" s="34"/>
      <c r="BC20" s="30"/>
    </row>
    <row r="21" spans="1:55" ht="12.75">
      <c r="A21" s="38" t="s">
        <v>285</v>
      </c>
      <c r="C21" s="34"/>
      <c r="D21" s="31"/>
      <c r="E21" s="34"/>
      <c r="F21" s="34"/>
      <c r="M21" s="34"/>
      <c r="O21" s="42"/>
      <c r="Q21" s="34"/>
      <c r="R21" s="34"/>
      <c r="S21" s="191"/>
      <c r="T21" s="34"/>
      <c r="U21" s="34"/>
      <c r="V21" s="34"/>
      <c r="W21" s="191"/>
      <c r="X21" s="34"/>
      <c r="AB21" s="34"/>
      <c r="AD21" s="42"/>
      <c r="AG21" s="34"/>
      <c r="AH21" s="34"/>
      <c r="AI21" s="79"/>
      <c r="AM21" s="34"/>
      <c r="AO21" s="34"/>
      <c r="AP21" s="34"/>
      <c r="AQ21" s="34"/>
      <c r="AR21" s="34"/>
      <c r="AT21" s="34"/>
      <c r="AU21" s="34"/>
      <c r="AV21" s="34"/>
      <c r="AW21" s="34"/>
      <c r="BC21" s="30"/>
    </row>
    <row r="22" spans="1:55" ht="12.75">
      <c r="A22" s="40" t="s">
        <v>286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41">
        <v>-51484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110">
        <v>0</v>
      </c>
      <c r="P22" s="110">
        <v>0</v>
      </c>
      <c r="Q22" s="110">
        <v>0</v>
      </c>
      <c r="R22" s="110">
        <v>0</v>
      </c>
      <c r="S22" s="191">
        <v>1047123</v>
      </c>
      <c r="T22" s="110">
        <v>0</v>
      </c>
      <c r="U22" s="110">
        <v>0</v>
      </c>
      <c r="V22" s="110">
        <v>0</v>
      </c>
      <c r="W22" s="191">
        <v>0</v>
      </c>
      <c r="X22" s="191">
        <v>0</v>
      </c>
      <c r="Y22" s="31">
        <v>0</v>
      </c>
      <c r="Z22" s="31">
        <v>0</v>
      </c>
      <c r="AA22" s="31">
        <v>0</v>
      </c>
      <c r="AB22" s="110">
        <v>0</v>
      </c>
      <c r="AC22" s="110">
        <v>0</v>
      </c>
      <c r="AD22" s="110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BB22" s="41">
        <f aca="true" t="shared" si="3" ref="BB22:BB30">SUM(B22:AY22)</f>
        <v>995639</v>
      </c>
      <c r="BC22" s="30"/>
    </row>
    <row r="23" spans="1:55" ht="12.75">
      <c r="A23" s="40" t="s">
        <v>287</v>
      </c>
      <c r="B23" s="31">
        <v>0</v>
      </c>
      <c r="C23" s="31">
        <v>0</v>
      </c>
      <c r="D23" s="31">
        <v>4717</v>
      </c>
      <c r="E23" s="31">
        <v>0</v>
      </c>
      <c r="F23" s="31">
        <v>0</v>
      </c>
      <c r="G23" s="41">
        <v>0</v>
      </c>
      <c r="H23" s="31">
        <v>0</v>
      </c>
      <c r="I23" s="31">
        <v>0</v>
      </c>
      <c r="J23" s="31">
        <v>0</v>
      </c>
      <c r="K23" s="31">
        <v>1011009</v>
      </c>
      <c r="L23" s="31">
        <v>0</v>
      </c>
      <c r="M23" s="31">
        <v>0</v>
      </c>
      <c r="N23" s="31">
        <v>0</v>
      </c>
      <c r="O23" s="110">
        <v>0</v>
      </c>
      <c r="P23" s="110">
        <v>0</v>
      </c>
      <c r="Q23" s="110">
        <v>0</v>
      </c>
      <c r="R23" s="110">
        <v>0</v>
      </c>
      <c r="S23" s="191">
        <v>632160</v>
      </c>
      <c r="T23" s="110">
        <v>4717</v>
      </c>
      <c r="U23" s="110">
        <v>0</v>
      </c>
      <c r="V23" s="110">
        <v>0</v>
      </c>
      <c r="W23" s="191">
        <v>0</v>
      </c>
      <c r="X23" s="191">
        <v>0</v>
      </c>
      <c r="Y23" s="31">
        <v>0</v>
      </c>
      <c r="Z23" s="31">
        <v>0</v>
      </c>
      <c r="AA23" s="31">
        <v>0</v>
      </c>
      <c r="AB23" s="110">
        <v>0</v>
      </c>
      <c r="AC23" s="110">
        <v>0</v>
      </c>
      <c r="AD23" s="110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BB23" s="41">
        <f t="shared" si="3"/>
        <v>1652603</v>
      </c>
      <c r="BC23" s="30"/>
    </row>
    <row r="24" spans="1:55" ht="12.75">
      <c r="A24" s="40" t="s">
        <v>288</v>
      </c>
      <c r="B24" s="31">
        <v>9668229</v>
      </c>
      <c r="C24" s="31">
        <v>8965326</v>
      </c>
      <c r="D24" s="31">
        <v>4738538</v>
      </c>
      <c r="E24" s="110">
        <v>4191838</v>
      </c>
      <c r="F24" s="110">
        <v>666321.94</v>
      </c>
      <c r="G24" s="31">
        <v>1708359</v>
      </c>
      <c r="H24" s="31">
        <v>1400433</v>
      </c>
      <c r="I24" s="31">
        <v>23130</v>
      </c>
      <c r="J24" s="31">
        <v>1265580</v>
      </c>
      <c r="K24" s="31">
        <v>0</v>
      </c>
      <c r="L24" s="31">
        <v>21798</v>
      </c>
      <c r="M24" s="31">
        <v>1594550</v>
      </c>
      <c r="N24" s="31">
        <v>453355</v>
      </c>
      <c r="O24" s="110">
        <v>383518</v>
      </c>
      <c r="P24" s="31">
        <v>1152192</v>
      </c>
      <c r="Q24" s="110">
        <v>837234</v>
      </c>
      <c r="R24" s="110">
        <v>186040</v>
      </c>
      <c r="S24" s="191">
        <v>0</v>
      </c>
      <c r="T24" s="110">
        <v>643339</v>
      </c>
      <c r="U24" s="110">
        <v>10995.719</v>
      </c>
      <c r="V24" s="110">
        <v>534</v>
      </c>
      <c r="W24" s="191">
        <v>481233</v>
      </c>
      <c r="X24" s="110">
        <v>21253</v>
      </c>
      <c r="Y24" s="31">
        <v>8100.7570000000005</v>
      </c>
      <c r="Z24" s="31">
        <v>96067</v>
      </c>
      <c r="AA24" s="31">
        <v>513237</v>
      </c>
      <c r="AB24" s="110">
        <v>81815</v>
      </c>
      <c r="AC24" s="31">
        <v>4290.701</v>
      </c>
      <c r="AD24" s="110">
        <v>0</v>
      </c>
      <c r="AE24" s="31">
        <v>78708</v>
      </c>
      <c r="AF24" s="31">
        <v>56889</v>
      </c>
      <c r="AG24" s="110">
        <v>-3190</v>
      </c>
      <c r="AH24" s="41">
        <v>1012</v>
      </c>
      <c r="AI24" s="31">
        <v>14702</v>
      </c>
      <c r="AJ24" s="31">
        <v>313</v>
      </c>
      <c r="AK24" s="31">
        <v>17442</v>
      </c>
      <c r="AL24" s="31">
        <v>-3693.494</v>
      </c>
      <c r="AM24" s="110">
        <v>150</v>
      </c>
      <c r="AN24" s="31">
        <v>23</v>
      </c>
      <c r="AO24" s="110">
        <v>0</v>
      </c>
      <c r="AP24" s="110">
        <v>0</v>
      </c>
      <c r="AQ24" s="110">
        <v>191</v>
      </c>
      <c r="AR24" s="110">
        <v>2866</v>
      </c>
      <c r="AS24" s="31">
        <v>38</v>
      </c>
      <c r="AT24" s="110">
        <v>520.493</v>
      </c>
      <c r="AU24" s="110">
        <v>3</v>
      </c>
      <c r="AV24" s="110">
        <v>-2882</v>
      </c>
      <c r="AW24" s="110">
        <v>0</v>
      </c>
      <c r="AX24" s="110">
        <v>0</v>
      </c>
      <c r="AY24" s="110">
        <v>0</v>
      </c>
      <c r="BB24" s="41">
        <f t="shared" si="3"/>
        <v>39280399.11599999</v>
      </c>
      <c r="BC24" s="30"/>
    </row>
    <row r="25" spans="1:55" ht="12.75">
      <c r="A25" s="40" t="s">
        <v>289</v>
      </c>
      <c r="B25" s="31">
        <v>0</v>
      </c>
      <c r="C25" s="31">
        <v>-98</v>
      </c>
      <c r="D25" s="31">
        <v>0</v>
      </c>
      <c r="E25" s="110">
        <v>3959</v>
      </c>
      <c r="F25" s="110">
        <v>5712.091</v>
      </c>
      <c r="G25" s="31">
        <v>59430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-4026</v>
      </c>
      <c r="N25" s="31">
        <v>0</v>
      </c>
      <c r="O25" s="110">
        <v>0</v>
      </c>
      <c r="P25" s="31">
        <v>2064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91">
        <v>602</v>
      </c>
      <c r="X25" s="110"/>
      <c r="Y25" s="31"/>
      <c r="Z25" s="31">
        <v>0</v>
      </c>
      <c r="AA25" s="31">
        <v>0</v>
      </c>
      <c r="AB25" s="110">
        <v>0</v>
      </c>
      <c r="AC25" s="31">
        <v>0</v>
      </c>
      <c r="AD25" s="110">
        <v>0</v>
      </c>
      <c r="AE25" s="31">
        <v>0</v>
      </c>
      <c r="AF25" s="31">
        <v>5572</v>
      </c>
      <c r="AG25" s="31">
        <v>0</v>
      </c>
      <c r="AH25" s="31">
        <v>0</v>
      </c>
      <c r="AI25" s="31">
        <v>0</v>
      </c>
      <c r="AJ25" s="31">
        <v>0</v>
      </c>
      <c r="AK25" s="31">
        <v>140430</v>
      </c>
      <c r="AL25" s="31">
        <v>0</v>
      </c>
      <c r="AM25" s="110">
        <v>0</v>
      </c>
      <c r="AN25" s="31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BB25" s="41">
        <f t="shared" si="3"/>
        <v>213645.09100000001</v>
      </c>
      <c r="BC25" s="30"/>
    </row>
    <row r="26" spans="1:55" ht="12.75">
      <c r="A26" s="40" t="s">
        <v>290</v>
      </c>
      <c r="B26" s="31">
        <v>7678106</v>
      </c>
      <c r="C26" s="31">
        <v>7138285</v>
      </c>
      <c r="D26" s="31">
        <v>4693151</v>
      </c>
      <c r="E26" s="110">
        <v>4532272</v>
      </c>
      <c r="F26" s="110">
        <v>4293725.8</v>
      </c>
      <c r="G26" s="31">
        <v>1620876</v>
      </c>
      <c r="H26" s="31">
        <v>1820632</v>
      </c>
      <c r="I26" s="31">
        <v>3453575</v>
      </c>
      <c r="J26" s="31">
        <v>2550164</v>
      </c>
      <c r="K26" s="31">
        <v>1531051</v>
      </c>
      <c r="L26" s="31">
        <v>2464940</v>
      </c>
      <c r="M26" s="31">
        <v>1253948</v>
      </c>
      <c r="N26" s="31">
        <v>1512173</v>
      </c>
      <c r="O26" s="110">
        <v>1750493</v>
      </c>
      <c r="P26" s="31">
        <v>968349</v>
      </c>
      <c r="Q26" s="110">
        <v>799664</v>
      </c>
      <c r="R26" s="110">
        <v>1451890</v>
      </c>
      <c r="S26" s="191">
        <v>0</v>
      </c>
      <c r="T26" s="110">
        <v>783636</v>
      </c>
      <c r="U26" s="110">
        <v>1553508.161</v>
      </c>
      <c r="V26" s="110">
        <v>895223</v>
      </c>
      <c r="W26" s="191">
        <v>672525</v>
      </c>
      <c r="X26" s="110">
        <v>1045995</v>
      </c>
      <c r="Y26" s="31">
        <v>1056836.966</v>
      </c>
      <c r="Z26" s="31">
        <v>679336</v>
      </c>
      <c r="AA26" s="31">
        <v>423719</v>
      </c>
      <c r="AB26" s="110">
        <v>772387</v>
      </c>
      <c r="AC26" s="31">
        <v>646482.348</v>
      </c>
      <c r="AD26" s="110">
        <v>346347</v>
      </c>
      <c r="AE26" s="31">
        <v>186447</v>
      </c>
      <c r="AF26" s="31">
        <v>179012</v>
      </c>
      <c r="AG26" s="110">
        <v>253025</v>
      </c>
      <c r="AH26" s="110">
        <v>241529</v>
      </c>
      <c r="AI26" s="31">
        <v>176251</v>
      </c>
      <c r="AJ26" s="31">
        <v>217554</v>
      </c>
      <c r="AK26" s="31">
        <v>0</v>
      </c>
      <c r="AL26" s="31">
        <v>130977.748</v>
      </c>
      <c r="AM26" s="110">
        <v>186136</v>
      </c>
      <c r="AN26" s="31">
        <v>127702</v>
      </c>
      <c r="AO26" s="110">
        <v>130478</v>
      </c>
      <c r="AP26" s="110">
        <f>73816</f>
        <v>73816</v>
      </c>
      <c r="AQ26" s="110">
        <v>56996</v>
      </c>
      <c r="AR26" s="110">
        <v>56444</v>
      </c>
      <c r="AS26" s="31">
        <v>56067</v>
      </c>
      <c r="AT26" s="110">
        <v>44600.22</v>
      </c>
      <c r="AU26" s="110">
        <v>29962</v>
      </c>
      <c r="AV26" s="110">
        <v>19199</v>
      </c>
      <c r="AW26" s="110">
        <v>5946</v>
      </c>
      <c r="AX26" s="31">
        <v>2662.167</v>
      </c>
      <c r="AY26" s="31">
        <v>668</v>
      </c>
      <c r="BB26" s="41">
        <f t="shared" si="3"/>
        <v>60564762.41</v>
      </c>
      <c r="BC26" s="30"/>
    </row>
    <row r="27" spans="1:55" ht="12.75">
      <c r="A27" s="40" t="s">
        <v>291</v>
      </c>
      <c r="B27" s="31">
        <v>0</v>
      </c>
      <c r="C27" s="31">
        <v>0</v>
      </c>
      <c r="D27" s="31">
        <v>8440</v>
      </c>
      <c r="E27" s="110">
        <v>0</v>
      </c>
      <c r="F27" s="110">
        <v>0</v>
      </c>
      <c r="G27" s="31">
        <v>0</v>
      </c>
      <c r="H27" s="31">
        <v>-4050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91">
        <v>0</v>
      </c>
      <c r="X27" s="191">
        <v>0</v>
      </c>
      <c r="Y27" s="191">
        <v>0</v>
      </c>
      <c r="Z27" s="31">
        <v>0</v>
      </c>
      <c r="AA27" s="31">
        <v>0</v>
      </c>
      <c r="AB27" s="110">
        <v>0</v>
      </c>
      <c r="AC27" s="110">
        <v>0</v>
      </c>
      <c r="AD27" s="110">
        <v>0</v>
      </c>
      <c r="AE27" s="31">
        <v>0</v>
      </c>
      <c r="AF27" s="31">
        <v>0</v>
      </c>
      <c r="AG27" s="110">
        <v>0</v>
      </c>
      <c r="AH27" s="110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BB27" s="41">
        <f>SUM(B27:AY27)</f>
        <v>4390</v>
      </c>
      <c r="BC27" s="30"/>
    </row>
    <row r="28" spans="1:55" ht="12.75">
      <c r="A28" s="40" t="s">
        <v>292</v>
      </c>
      <c r="B28" s="31">
        <v>0</v>
      </c>
      <c r="C28" s="31">
        <v>0</v>
      </c>
      <c r="D28" s="31">
        <v>0</v>
      </c>
      <c r="E28" s="110">
        <v>0</v>
      </c>
      <c r="F28" s="11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91">
        <v>0</v>
      </c>
      <c r="X28" s="191">
        <v>0</v>
      </c>
      <c r="Y28" s="191">
        <v>0</v>
      </c>
      <c r="Z28" s="31">
        <v>0</v>
      </c>
      <c r="AA28" s="31">
        <v>0</v>
      </c>
      <c r="AB28" s="110">
        <v>0</v>
      </c>
      <c r="AC28" s="110">
        <v>0</v>
      </c>
      <c r="AD28" s="110">
        <v>0</v>
      </c>
      <c r="AE28" s="31">
        <v>0</v>
      </c>
      <c r="AF28" s="31">
        <v>0</v>
      </c>
      <c r="AG28" s="110">
        <v>0</v>
      </c>
      <c r="AH28" s="110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BB28" s="41">
        <f>SUM(B28:AY28)</f>
        <v>0</v>
      </c>
      <c r="BC28" s="30"/>
    </row>
    <row r="29" spans="1:55" ht="12.75">
      <c r="A29" s="40" t="s">
        <v>293</v>
      </c>
      <c r="B29" s="31">
        <v>-14011</v>
      </c>
      <c r="C29" s="31">
        <v>-80466</v>
      </c>
      <c r="D29" s="31">
        <v>-40000</v>
      </c>
      <c r="E29" s="110">
        <v>-11159</v>
      </c>
      <c r="F29" s="110">
        <v>-42857.049</v>
      </c>
      <c r="G29" s="31">
        <v>-1875</v>
      </c>
      <c r="H29" s="31">
        <v>0</v>
      </c>
      <c r="I29" s="31">
        <v>0</v>
      </c>
      <c r="J29" s="31">
        <v>0</v>
      </c>
      <c r="K29" s="31">
        <v>32864</v>
      </c>
      <c r="L29" s="31">
        <v>-5000</v>
      </c>
      <c r="M29" s="31">
        <v>-77270</v>
      </c>
      <c r="N29" s="31">
        <v>-15000</v>
      </c>
      <c r="O29" s="110">
        <v>3214</v>
      </c>
      <c r="P29" s="31">
        <v>-7841</v>
      </c>
      <c r="Q29" s="110">
        <v>0</v>
      </c>
      <c r="R29" s="110">
        <v>-325</v>
      </c>
      <c r="S29" s="191">
        <v>-1000</v>
      </c>
      <c r="T29" s="110">
        <v>0</v>
      </c>
      <c r="U29" s="110">
        <v>0</v>
      </c>
      <c r="V29" s="110">
        <v>-678</v>
      </c>
      <c r="W29" s="191">
        <v>-1778</v>
      </c>
      <c r="X29" s="110">
        <v>0</v>
      </c>
      <c r="Y29" s="31">
        <v>15314.229000000001</v>
      </c>
      <c r="Z29" s="31">
        <v>-3464</v>
      </c>
      <c r="AA29" s="31">
        <v>-2400</v>
      </c>
      <c r="AB29" s="110">
        <v>-7000</v>
      </c>
      <c r="AC29" s="110">
        <v>0</v>
      </c>
      <c r="AD29" s="110">
        <v>0</v>
      </c>
      <c r="AE29" s="31">
        <v>0</v>
      </c>
      <c r="AF29" s="31">
        <v>455</v>
      </c>
      <c r="AG29" s="110">
        <v>0</v>
      </c>
      <c r="AH29" s="110">
        <v>-1276</v>
      </c>
      <c r="AI29" s="31">
        <v>0</v>
      </c>
      <c r="AJ29" s="31">
        <v>3909</v>
      </c>
      <c r="AK29" s="31">
        <v>0</v>
      </c>
      <c r="AL29" s="31">
        <v>0</v>
      </c>
      <c r="AM29" s="110">
        <v>-2402</v>
      </c>
      <c r="AN29" s="31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120</v>
      </c>
      <c r="AX29" s="110">
        <v>0</v>
      </c>
      <c r="AY29" s="110">
        <v>0</v>
      </c>
      <c r="BB29" s="41">
        <f t="shared" si="3"/>
        <v>-259925.82</v>
      </c>
      <c r="BC29" s="30"/>
    </row>
    <row r="30" spans="1:55" ht="12.75">
      <c r="A30" s="40" t="s">
        <v>294</v>
      </c>
      <c r="B30" s="31">
        <v>0</v>
      </c>
      <c r="C30" s="31">
        <v>0</v>
      </c>
      <c r="D30" s="31">
        <v>0</v>
      </c>
      <c r="E30" s="110">
        <v>0</v>
      </c>
      <c r="F30" s="110">
        <v>0</v>
      </c>
      <c r="G30" s="31">
        <v>159368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110">
        <v>0</v>
      </c>
      <c r="P30" s="31">
        <v>0</v>
      </c>
      <c r="Q30" s="110">
        <v>0</v>
      </c>
      <c r="R30" s="110">
        <v>0</v>
      </c>
      <c r="S30" s="191">
        <v>0</v>
      </c>
      <c r="T30" s="110">
        <v>0</v>
      </c>
      <c r="U30" s="110">
        <v>0</v>
      </c>
      <c r="V30" s="110">
        <v>0</v>
      </c>
      <c r="W30" s="191">
        <v>0</v>
      </c>
      <c r="X30" s="41">
        <v>0</v>
      </c>
      <c r="Y30" s="41">
        <v>0</v>
      </c>
      <c r="Z30" s="31">
        <v>0</v>
      </c>
      <c r="AA30" s="31">
        <v>0</v>
      </c>
      <c r="AB30" s="110">
        <v>0</v>
      </c>
      <c r="AC30" s="110">
        <v>0</v>
      </c>
      <c r="AD30" s="110">
        <v>0</v>
      </c>
      <c r="AE30" s="31">
        <v>0</v>
      </c>
      <c r="AF30" s="31">
        <v>0</v>
      </c>
      <c r="AG30" s="110">
        <v>0</v>
      </c>
      <c r="AH30" s="110">
        <v>0</v>
      </c>
      <c r="AI30" s="31">
        <v>0</v>
      </c>
      <c r="AJ30" s="31">
        <v>0</v>
      </c>
      <c r="AK30" s="31">
        <v>0</v>
      </c>
      <c r="AL30" s="31">
        <v>0</v>
      </c>
      <c r="AM30" s="41">
        <v>0</v>
      </c>
      <c r="AN30" s="31">
        <v>0</v>
      </c>
      <c r="AO30" s="110">
        <v>0</v>
      </c>
      <c r="AP30" s="110">
        <v>35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BB30" s="41">
        <f t="shared" si="3"/>
        <v>159403</v>
      </c>
      <c r="BC30" s="30"/>
    </row>
    <row r="31" spans="1:55" ht="8.25" customHeight="1">
      <c r="A31" s="85"/>
      <c r="C31" s="34"/>
      <c r="D31" s="31"/>
      <c r="E31" s="34"/>
      <c r="F31" s="34"/>
      <c r="G31" s="31"/>
      <c r="M31" s="34"/>
      <c r="O31" s="42"/>
      <c r="Q31" s="34"/>
      <c r="R31" s="34"/>
      <c r="S31" s="191"/>
      <c r="T31" s="110"/>
      <c r="U31" s="34"/>
      <c r="V31" s="34"/>
      <c r="W31" s="191"/>
      <c r="AB31" s="34"/>
      <c r="AD31" s="42"/>
      <c r="AG31" s="34"/>
      <c r="AI31" s="79"/>
      <c r="AO31" s="34"/>
      <c r="AP31" s="34"/>
      <c r="AQ31" s="34"/>
      <c r="AR31" s="34"/>
      <c r="AT31" s="34"/>
      <c r="AU31" s="34"/>
      <c r="AV31" s="34"/>
      <c r="AW31" s="34"/>
      <c r="BC31" s="30"/>
    </row>
    <row r="32" spans="1:55" ht="12.75">
      <c r="A32" s="284" t="s">
        <v>295</v>
      </c>
      <c r="B32" s="30">
        <f>SUM(B22:B31)</f>
        <v>17332324</v>
      </c>
      <c r="C32" s="30">
        <f aca="true" t="shared" si="4" ref="C32:AY32">SUM(C22:C31)</f>
        <v>16023047</v>
      </c>
      <c r="D32" s="30">
        <f t="shared" si="4"/>
        <v>9404846</v>
      </c>
      <c r="E32" s="30">
        <f t="shared" si="4"/>
        <v>8716910</v>
      </c>
      <c r="F32" s="30">
        <f t="shared" si="4"/>
        <v>4922902.782000001</v>
      </c>
      <c r="G32" s="30">
        <f t="shared" si="4"/>
        <v>3494674</v>
      </c>
      <c r="H32" s="30">
        <f t="shared" si="4"/>
        <v>3217015</v>
      </c>
      <c r="I32" s="30">
        <f t="shared" si="4"/>
        <v>3476705</v>
      </c>
      <c r="J32" s="30">
        <f t="shared" si="4"/>
        <v>3815744</v>
      </c>
      <c r="K32" s="30">
        <f t="shared" si="4"/>
        <v>2574924</v>
      </c>
      <c r="L32" s="30">
        <f t="shared" si="4"/>
        <v>2481738</v>
      </c>
      <c r="M32" s="30">
        <f t="shared" si="4"/>
        <v>2767202</v>
      </c>
      <c r="N32" s="30">
        <f t="shared" si="4"/>
        <v>1950528</v>
      </c>
      <c r="O32" s="30">
        <f t="shared" si="4"/>
        <v>2137225</v>
      </c>
      <c r="P32" s="30">
        <f t="shared" si="4"/>
        <v>2114764</v>
      </c>
      <c r="Q32" s="30">
        <f t="shared" si="4"/>
        <v>1636898</v>
      </c>
      <c r="R32" s="30">
        <f t="shared" si="4"/>
        <v>1637605</v>
      </c>
      <c r="S32" s="30">
        <f t="shared" si="4"/>
        <v>1678283</v>
      </c>
      <c r="T32" s="30">
        <f t="shared" si="4"/>
        <v>1431692</v>
      </c>
      <c r="U32" s="30">
        <f t="shared" si="4"/>
        <v>1564503.8800000001</v>
      </c>
      <c r="V32" s="30">
        <f t="shared" si="4"/>
        <v>895079</v>
      </c>
      <c r="W32" s="30">
        <f t="shared" si="4"/>
        <v>1152582</v>
      </c>
      <c r="X32" s="30">
        <f t="shared" si="4"/>
        <v>1067248</v>
      </c>
      <c r="Y32" s="30">
        <f t="shared" si="4"/>
        <v>1080251.952</v>
      </c>
      <c r="Z32" s="30">
        <f t="shared" si="4"/>
        <v>771939</v>
      </c>
      <c r="AA32" s="30">
        <f t="shared" si="4"/>
        <v>934556</v>
      </c>
      <c r="AB32" s="30">
        <f t="shared" si="4"/>
        <v>847202</v>
      </c>
      <c r="AC32" s="30">
        <f t="shared" si="4"/>
        <v>650773.049</v>
      </c>
      <c r="AD32" s="30">
        <f t="shared" si="4"/>
        <v>346347</v>
      </c>
      <c r="AE32" s="30">
        <f t="shared" si="4"/>
        <v>265155</v>
      </c>
      <c r="AF32" s="30">
        <f t="shared" si="4"/>
        <v>241928</v>
      </c>
      <c r="AG32" s="30">
        <f t="shared" si="4"/>
        <v>249835</v>
      </c>
      <c r="AH32" s="30">
        <f t="shared" si="4"/>
        <v>241265</v>
      </c>
      <c r="AI32" s="30">
        <f t="shared" si="4"/>
        <v>190953</v>
      </c>
      <c r="AJ32" s="30">
        <f t="shared" si="4"/>
        <v>221776</v>
      </c>
      <c r="AK32" s="30">
        <f t="shared" si="4"/>
        <v>157872</v>
      </c>
      <c r="AL32" s="30">
        <f t="shared" si="4"/>
        <v>127284.254</v>
      </c>
      <c r="AM32" s="30">
        <f t="shared" si="4"/>
        <v>183884</v>
      </c>
      <c r="AN32" s="30">
        <f t="shared" si="4"/>
        <v>127725</v>
      </c>
      <c r="AO32" s="30">
        <f t="shared" si="4"/>
        <v>130478</v>
      </c>
      <c r="AP32" s="30">
        <f t="shared" si="4"/>
        <v>73851</v>
      </c>
      <c r="AQ32" s="30">
        <f t="shared" si="4"/>
        <v>57187</v>
      </c>
      <c r="AR32" s="30">
        <f t="shared" si="4"/>
        <v>59310</v>
      </c>
      <c r="AS32" s="30">
        <f t="shared" si="4"/>
        <v>56105</v>
      </c>
      <c r="AT32" s="30">
        <f t="shared" si="4"/>
        <v>45120.713</v>
      </c>
      <c r="AU32" s="30">
        <f t="shared" si="4"/>
        <v>29965</v>
      </c>
      <c r="AV32" s="30">
        <f t="shared" si="4"/>
        <v>16317</v>
      </c>
      <c r="AW32" s="30">
        <f t="shared" si="4"/>
        <v>6066</v>
      </c>
      <c r="AX32" s="30">
        <f t="shared" si="4"/>
        <v>2662.167</v>
      </c>
      <c r="AY32" s="30">
        <f t="shared" si="4"/>
        <v>668</v>
      </c>
      <c r="BB32" s="41">
        <f>SUM(B32:AY32)</f>
        <v>102610915.79699999</v>
      </c>
      <c r="BC32" s="30"/>
    </row>
    <row r="33" spans="1:55" ht="8.25" customHeight="1">
      <c r="A33" s="38"/>
      <c r="C33" s="34"/>
      <c r="D33" s="31"/>
      <c r="E33" s="34"/>
      <c r="F33" s="34"/>
      <c r="M33" s="34"/>
      <c r="O33" s="42"/>
      <c r="Q33" s="34"/>
      <c r="R33" s="34"/>
      <c r="S33" s="191"/>
      <c r="T33" s="34"/>
      <c r="U33" s="34"/>
      <c r="V33" s="34"/>
      <c r="W33" s="191"/>
      <c r="X33" s="34"/>
      <c r="AB33" s="34"/>
      <c r="AD33" s="42"/>
      <c r="AG33" s="34"/>
      <c r="AH33" s="34"/>
      <c r="AI33" s="79"/>
      <c r="AM33" s="34"/>
      <c r="AO33" s="34"/>
      <c r="AP33" s="34"/>
      <c r="AQ33" s="34"/>
      <c r="AR33" s="34"/>
      <c r="AT33" s="34"/>
      <c r="AU33" s="34"/>
      <c r="AV33" s="34"/>
      <c r="AW33" s="34"/>
      <c r="BC33" s="30"/>
    </row>
    <row r="34" spans="1:55" ht="12.75">
      <c r="A34" s="38" t="s">
        <v>296</v>
      </c>
      <c r="C34" s="34"/>
      <c r="D34" s="31"/>
      <c r="E34" s="34"/>
      <c r="F34" s="34"/>
      <c r="G34" s="30"/>
      <c r="M34" s="34"/>
      <c r="O34" s="42"/>
      <c r="Q34" s="34"/>
      <c r="R34" s="34"/>
      <c r="S34" s="191"/>
      <c r="T34" s="34"/>
      <c r="U34" s="34"/>
      <c r="V34" s="34"/>
      <c r="W34" s="191"/>
      <c r="X34" s="34"/>
      <c r="AB34" s="34"/>
      <c r="AD34" s="42"/>
      <c r="AG34" s="34"/>
      <c r="AH34" s="34"/>
      <c r="AI34" s="79"/>
      <c r="AM34" s="34"/>
      <c r="AO34" s="34"/>
      <c r="AP34" s="34"/>
      <c r="AQ34" s="34"/>
      <c r="AR34" s="34"/>
      <c r="AT34" s="34"/>
      <c r="AU34" s="34"/>
      <c r="AV34" s="34"/>
      <c r="AW34" s="34"/>
      <c r="BC34" s="30"/>
    </row>
    <row r="35" spans="1:55" ht="12.75">
      <c r="A35" s="40" t="s">
        <v>297</v>
      </c>
      <c r="B35" s="31">
        <v>121884</v>
      </c>
      <c r="C35" s="31">
        <v>132269</v>
      </c>
      <c r="D35" s="31">
        <v>44753</v>
      </c>
      <c r="E35" s="110">
        <v>29204</v>
      </c>
      <c r="F35" s="110">
        <v>85914.23</v>
      </c>
      <c r="G35" s="41">
        <v>25979</v>
      </c>
      <c r="H35" s="31">
        <v>23310</v>
      </c>
      <c r="I35" s="31">
        <v>25427</v>
      </c>
      <c r="J35" s="31">
        <v>61528</v>
      </c>
      <c r="K35" s="31">
        <v>34470</v>
      </c>
      <c r="L35" s="31">
        <v>7122</v>
      </c>
      <c r="M35" s="31">
        <v>26336</v>
      </c>
      <c r="N35" s="31">
        <v>12274</v>
      </c>
      <c r="O35" s="110">
        <v>6961</v>
      </c>
      <c r="P35" s="31">
        <v>18478</v>
      </c>
      <c r="Q35" s="110">
        <v>22934</v>
      </c>
      <c r="R35" s="110">
        <v>22257</v>
      </c>
      <c r="S35" s="191">
        <v>12138</v>
      </c>
      <c r="T35" s="110">
        <v>12257</v>
      </c>
      <c r="U35" s="110">
        <v>9221.722</v>
      </c>
      <c r="V35" s="110">
        <v>0</v>
      </c>
      <c r="W35" s="191">
        <v>13069</v>
      </c>
      <c r="X35" s="110">
        <v>4525</v>
      </c>
      <c r="Y35" s="31">
        <v>14870.484999999999</v>
      </c>
      <c r="Z35" s="31">
        <v>6709</v>
      </c>
      <c r="AA35" s="31">
        <v>1299</v>
      </c>
      <c r="AB35" s="110">
        <v>15054</v>
      </c>
      <c r="AC35" s="31">
        <v>11332.976999999999</v>
      </c>
      <c r="AD35" s="110">
        <v>819</v>
      </c>
      <c r="AE35" s="31">
        <v>4078</v>
      </c>
      <c r="AF35" s="31">
        <v>5285</v>
      </c>
      <c r="AG35" s="110">
        <v>3186</v>
      </c>
      <c r="AH35" s="110">
        <v>1978</v>
      </c>
      <c r="AI35" s="31">
        <v>2110</v>
      </c>
      <c r="AJ35" s="31">
        <v>117</v>
      </c>
      <c r="AK35" s="31">
        <v>1977</v>
      </c>
      <c r="AL35" s="31">
        <v>0</v>
      </c>
      <c r="AM35" s="110">
        <v>690</v>
      </c>
      <c r="AN35" s="31">
        <v>1149</v>
      </c>
      <c r="AO35" s="110">
        <v>1425</v>
      </c>
      <c r="AP35" s="110">
        <v>375</v>
      </c>
      <c r="AQ35" s="110">
        <v>298</v>
      </c>
      <c r="AR35" s="110">
        <v>829</v>
      </c>
      <c r="AS35" s="31">
        <v>597</v>
      </c>
      <c r="AT35" s="110">
        <v>143.632</v>
      </c>
      <c r="AU35" s="110">
        <v>0</v>
      </c>
      <c r="AV35" s="110">
        <v>1396</v>
      </c>
      <c r="AW35" s="110">
        <v>0</v>
      </c>
      <c r="AX35" s="31">
        <v>0</v>
      </c>
      <c r="AY35" s="31">
        <v>0</v>
      </c>
      <c r="BB35" s="41">
        <f>SUM(B35:AY35)</f>
        <v>828029.0459999999</v>
      </c>
      <c r="BC35" s="30"/>
    </row>
    <row r="36" spans="1:55" ht="12.75">
      <c r="A36" s="40" t="s">
        <v>298</v>
      </c>
      <c r="B36" s="31">
        <v>0</v>
      </c>
      <c r="C36" s="31">
        <v>0</v>
      </c>
      <c r="D36" s="31">
        <v>1812</v>
      </c>
      <c r="E36" s="110">
        <v>0</v>
      </c>
      <c r="F36" s="110">
        <v>27231.416</v>
      </c>
      <c r="G36" s="41">
        <v>0</v>
      </c>
      <c r="H36" s="31">
        <v>1177</v>
      </c>
      <c r="I36" s="31">
        <v>342</v>
      </c>
      <c r="J36" s="31">
        <v>0</v>
      </c>
      <c r="K36" s="31">
        <v>0</v>
      </c>
      <c r="L36" s="31">
        <v>0</v>
      </c>
      <c r="M36" s="31">
        <v>282</v>
      </c>
      <c r="N36" s="31">
        <v>0</v>
      </c>
      <c r="O36" s="110">
        <v>0</v>
      </c>
      <c r="P36" s="31">
        <v>598</v>
      </c>
      <c r="Q36" s="110">
        <v>0</v>
      </c>
      <c r="R36" s="110">
        <v>-217</v>
      </c>
      <c r="S36" s="110">
        <v>0</v>
      </c>
      <c r="T36" s="110">
        <v>0</v>
      </c>
      <c r="U36" s="110">
        <v>298.676</v>
      </c>
      <c r="V36" s="110">
        <v>925</v>
      </c>
      <c r="W36" s="191">
        <v>0</v>
      </c>
      <c r="X36" s="110">
        <v>54</v>
      </c>
      <c r="Y36" s="191">
        <v>0</v>
      </c>
      <c r="Z36" s="31">
        <v>0</v>
      </c>
      <c r="AA36" s="31">
        <v>0</v>
      </c>
      <c r="AB36" s="110">
        <v>0</v>
      </c>
      <c r="AC36" s="31">
        <v>193.019</v>
      </c>
      <c r="AD36" s="110">
        <v>89</v>
      </c>
      <c r="AE36" s="31">
        <v>0</v>
      </c>
      <c r="AF36" s="31">
        <v>0</v>
      </c>
      <c r="AG36" s="31">
        <v>0</v>
      </c>
      <c r="AH36" s="110">
        <v>68</v>
      </c>
      <c r="AI36" s="31">
        <v>0</v>
      </c>
      <c r="AJ36" s="31">
        <v>22</v>
      </c>
      <c r="AK36" s="31">
        <v>0</v>
      </c>
      <c r="AL36" s="31">
        <v>0</v>
      </c>
      <c r="AM36" s="110">
        <v>160</v>
      </c>
      <c r="AN36" s="31">
        <v>0</v>
      </c>
      <c r="AO36" s="110">
        <v>32</v>
      </c>
      <c r="AP36" s="110">
        <v>95</v>
      </c>
      <c r="AQ36" s="110">
        <v>0</v>
      </c>
      <c r="AR36" s="110">
        <v>0</v>
      </c>
      <c r="AS36" s="31">
        <v>45</v>
      </c>
      <c r="AT36" s="110">
        <v>0</v>
      </c>
      <c r="AU36" s="110">
        <v>0</v>
      </c>
      <c r="AV36" s="110">
        <v>0</v>
      </c>
      <c r="AW36" s="110">
        <v>0</v>
      </c>
      <c r="AX36" s="31">
        <v>0</v>
      </c>
      <c r="AY36" s="31">
        <v>0</v>
      </c>
      <c r="BB36" s="41">
        <f>SUM(B36:AY36)</f>
        <v>33207.111000000004</v>
      </c>
      <c r="BC36" s="30"/>
    </row>
    <row r="37" spans="1:55" ht="12.75">
      <c r="A37" s="40" t="s">
        <v>299</v>
      </c>
      <c r="B37" s="31">
        <v>0</v>
      </c>
      <c r="C37" s="31">
        <v>0</v>
      </c>
      <c r="D37" s="31">
        <v>0</v>
      </c>
      <c r="E37" s="110">
        <v>0</v>
      </c>
      <c r="F37" s="110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110">
        <v>0</v>
      </c>
      <c r="P37" s="31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91">
        <v>0</v>
      </c>
      <c r="X37" s="191">
        <v>0</v>
      </c>
      <c r="Y37" s="191">
        <v>0</v>
      </c>
      <c r="Z37" s="31">
        <v>0</v>
      </c>
      <c r="AA37" s="31">
        <v>0</v>
      </c>
      <c r="AB37" s="110">
        <v>0</v>
      </c>
      <c r="AC37" s="110">
        <v>0</v>
      </c>
      <c r="AD37" s="110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110">
        <v>0</v>
      </c>
      <c r="AU37" s="110">
        <v>0</v>
      </c>
      <c r="AV37" s="110">
        <v>0</v>
      </c>
      <c r="AW37" s="110">
        <v>0</v>
      </c>
      <c r="AX37" s="31">
        <v>0</v>
      </c>
      <c r="AY37" s="31">
        <v>0</v>
      </c>
      <c r="BB37" s="41">
        <f>SUM(B37:AY37)</f>
        <v>0</v>
      </c>
      <c r="BC37" s="30"/>
    </row>
    <row r="38" spans="1:55" ht="12.75">
      <c r="A38" s="40" t="s">
        <v>300</v>
      </c>
      <c r="B38" s="31">
        <v>0</v>
      </c>
      <c r="C38" s="31">
        <v>0</v>
      </c>
      <c r="D38" s="31">
        <v>0</v>
      </c>
      <c r="E38" s="110">
        <v>0</v>
      </c>
      <c r="F38" s="11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110">
        <v>0</v>
      </c>
      <c r="P38" s="31">
        <v>2401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91">
        <v>0</v>
      </c>
      <c r="X38" s="191">
        <v>0</v>
      </c>
      <c r="Y38" s="191">
        <v>0</v>
      </c>
      <c r="Z38" s="31">
        <v>0</v>
      </c>
      <c r="AA38" s="31">
        <v>0</v>
      </c>
      <c r="AB38" s="110">
        <v>0</v>
      </c>
      <c r="AC38" s="110">
        <v>0</v>
      </c>
      <c r="AD38" s="110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110">
        <v>0</v>
      </c>
      <c r="AU38" s="110">
        <v>0</v>
      </c>
      <c r="AV38" s="110">
        <v>0</v>
      </c>
      <c r="AW38" s="110">
        <v>0</v>
      </c>
      <c r="AX38" s="31">
        <v>0</v>
      </c>
      <c r="AY38" s="31">
        <v>0</v>
      </c>
      <c r="BB38" s="41">
        <f>SUM(B38:AY38)</f>
        <v>2401</v>
      </c>
      <c r="BC38" s="30"/>
    </row>
    <row r="39" spans="1:55" ht="12.75">
      <c r="A39" s="40" t="s">
        <v>301</v>
      </c>
      <c r="B39" s="31">
        <v>273545</v>
      </c>
      <c r="C39" s="31">
        <v>0</v>
      </c>
      <c r="D39" s="31">
        <v>5710</v>
      </c>
      <c r="E39" s="110">
        <v>0</v>
      </c>
      <c r="F39" s="110">
        <v>0</v>
      </c>
      <c r="G39" s="31">
        <v>0</v>
      </c>
      <c r="H39" s="31">
        <v>0</v>
      </c>
      <c r="I39" s="31">
        <v>0</v>
      </c>
      <c r="J39" s="31">
        <v>0</v>
      </c>
      <c r="K39" s="41">
        <v>0</v>
      </c>
      <c r="L39" s="31">
        <v>0</v>
      </c>
      <c r="M39" s="31">
        <v>0</v>
      </c>
      <c r="N39" s="31">
        <v>9670</v>
      </c>
      <c r="O39" s="110">
        <v>0</v>
      </c>
      <c r="P39" s="31">
        <v>0</v>
      </c>
      <c r="Q39" s="110">
        <v>0</v>
      </c>
      <c r="R39" s="110">
        <v>0</v>
      </c>
      <c r="S39" s="191">
        <v>27754</v>
      </c>
      <c r="T39" s="110">
        <v>1524</v>
      </c>
      <c r="U39" s="110">
        <v>6963.752</v>
      </c>
      <c r="V39" s="110">
        <v>0</v>
      </c>
      <c r="W39" s="191">
        <v>2376</v>
      </c>
      <c r="X39" s="110">
        <v>9670</v>
      </c>
      <c r="Y39" s="31">
        <v>1536.143</v>
      </c>
      <c r="Z39" s="31">
        <v>0</v>
      </c>
      <c r="AA39" s="31">
        <v>0</v>
      </c>
      <c r="AB39" s="110">
        <v>26734</v>
      </c>
      <c r="AC39" s="110">
        <v>0</v>
      </c>
      <c r="AD39" s="110">
        <v>0</v>
      </c>
      <c r="AE39" s="31">
        <v>0</v>
      </c>
      <c r="AF39" s="31">
        <v>381</v>
      </c>
      <c r="AG39" s="31">
        <v>0</v>
      </c>
      <c r="AH39" s="110">
        <v>42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110">
        <v>29</v>
      </c>
      <c r="AS39" s="31">
        <v>0</v>
      </c>
      <c r="AT39" s="110">
        <v>0</v>
      </c>
      <c r="AU39" s="110">
        <v>0</v>
      </c>
      <c r="AV39" s="110">
        <v>0</v>
      </c>
      <c r="AW39" s="110">
        <v>0</v>
      </c>
      <c r="AX39" s="31">
        <v>2395.107</v>
      </c>
      <c r="AY39" s="31">
        <v>0</v>
      </c>
      <c r="BB39" s="41">
        <f>SUM(B39:AY39)</f>
        <v>368330.002</v>
      </c>
      <c r="BC39" s="30"/>
    </row>
    <row r="40" spans="1:55" ht="5.25" customHeight="1">
      <c r="A40" s="85"/>
      <c r="C40" s="34"/>
      <c r="D40" s="31"/>
      <c r="E40" s="34"/>
      <c r="F40" s="34"/>
      <c r="G40" s="31"/>
      <c r="K40" s="30"/>
      <c r="M40" s="34"/>
      <c r="O40" s="42"/>
      <c r="Q40" s="34"/>
      <c r="R40" s="34"/>
      <c r="S40" s="191"/>
      <c r="T40" s="34"/>
      <c r="U40" s="34"/>
      <c r="V40" s="34"/>
      <c r="W40" s="191"/>
      <c r="X40" s="34"/>
      <c r="AB40" s="34"/>
      <c r="AD40" s="42"/>
      <c r="AG40" s="34"/>
      <c r="AH40" s="34"/>
      <c r="AI40" s="79"/>
      <c r="AM40" s="34"/>
      <c r="AO40" s="34"/>
      <c r="AP40" s="34"/>
      <c r="AQ40" s="34"/>
      <c r="AR40" s="34"/>
      <c r="AT40" s="34"/>
      <c r="AU40" s="34"/>
      <c r="AV40" s="34"/>
      <c r="AW40" s="34"/>
      <c r="BC40" s="30"/>
    </row>
    <row r="41" spans="1:55" ht="12.75">
      <c r="A41" s="284" t="s">
        <v>302</v>
      </c>
      <c r="B41" s="30">
        <f>SUM(B35:B40)</f>
        <v>395429</v>
      </c>
      <c r="C41" s="30">
        <f aca="true" t="shared" si="5" ref="C41:AY41">SUM(C35:C40)</f>
        <v>132269</v>
      </c>
      <c r="D41" s="30">
        <f t="shared" si="5"/>
        <v>52275</v>
      </c>
      <c r="E41" s="30">
        <f t="shared" si="5"/>
        <v>29204</v>
      </c>
      <c r="F41" s="30">
        <f t="shared" si="5"/>
        <v>113145.646</v>
      </c>
      <c r="G41" s="30">
        <f t="shared" si="5"/>
        <v>25979</v>
      </c>
      <c r="H41" s="30">
        <f t="shared" si="5"/>
        <v>24487</v>
      </c>
      <c r="I41" s="30">
        <f t="shared" si="5"/>
        <v>25769</v>
      </c>
      <c r="J41" s="30">
        <f t="shared" si="5"/>
        <v>61528</v>
      </c>
      <c r="K41" s="30">
        <f t="shared" si="5"/>
        <v>34470</v>
      </c>
      <c r="L41" s="30">
        <f t="shared" si="5"/>
        <v>7122</v>
      </c>
      <c r="M41" s="30">
        <f t="shared" si="5"/>
        <v>26618</v>
      </c>
      <c r="N41" s="30">
        <f t="shared" si="5"/>
        <v>21944</v>
      </c>
      <c r="O41" s="30">
        <f t="shared" si="5"/>
        <v>6961</v>
      </c>
      <c r="P41" s="30">
        <f t="shared" si="5"/>
        <v>21477</v>
      </c>
      <c r="Q41" s="30">
        <f t="shared" si="5"/>
        <v>22934</v>
      </c>
      <c r="R41" s="30">
        <f t="shared" si="5"/>
        <v>22040</v>
      </c>
      <c r="S41" s="30">
        <f t="shared" si="5"/>
        <v>39892</v>
      </c>
      <c r="T41" s="30">
        <f t="shared" si="5"/>
        <v>13781</v>
      </c>
      <c r="U41" s="30">
        <f t="shared" si="5"/>
        <v>16484.15</v>
      </c>
      <c r="V41" s="30">
        <f t="shared" si="5"/>
        <v>925</v>
      </c>
      <c r="W41" s="30">
        <f t="shared" si="5"/>
        <v>15445</v>
      </c>
      <c r="X41" s="30">
        <f t="shared" si="5"/>
        <v>14249</v>
      </c>
      <c r="Y41" s="30">
        <f t="shared" si="5"/>
        <v>16406.627999999997</v>
      </c>
      <c r="Z41" s="30">
        <f t="shared" si="5"/>
        <v>6709</v>
      </c>
      <c r="AA41" s="30">
        <f t="shared" si="5"/>
        <v>1299</v>
      </c>
      <c r="AB41" s="30">
        <f t="shared" si="5"/>
        <v>41788</v>
      </c>
      <c r="AC41" s="30">
        <f t="shared" si="5"/>
        <v>11525.996</v>
      </c>
      <c r="AD41" s="30">
        <f t="shared" si="5"/>
        <v>908</v>
      </c>
      <c r="AE41" s="30">
        <f t="shared" si="5"/>
        <v>4078</v>
      </c>
      <c r="AF41" s="30">
        <f t="shared" si="5"/>
        <v>5666</v>
      </c>
      <c r="AG41" s="30">
        <f t="shared" si="5"/>
        <v>3186</v>
      </c>
      <c r="AH41" s="30">
        <f t="shared" si="5"/>
        <v>2088</v>
      </c>
      <c r="AI41" s="30">
        <f t="shared" si="5"/>
        <v>2110</v>
      </c>
      <c r="AJ41" s="30">
        <f t="shared" si="5"/>
        <v>139</v>
      </c>
      <c r="AK41" s="30">
        <f t="shared" si="5"/>
        <v>1977</v>
      </c>
      <c r="AL41" s="30">
        <f t="shared" si="5"/>
        <v>0</v>
      </c>
      <c r="AM41" s="30">
        <f t="shared" si="5"/>
        <v>850</v>
      </c>
      <c r="AN41" s="30">
        <f t="shared" si="5"/>
        <v>1149</v>
      </c>
      <c r="AO41" s="30">
        <f t="shared" si="5"/>
        <v>1457</v>
      </c>
      <c r="AP41" s="30">
        <f t="shared" si="5"/>
        <v>470</v>
      </c>
      <c r="AQ41" s="30">
        <f t="shared" si="5"/>
        <v>298</v>
      </c>
      <c r="AR41" s="30">
        <f t="shared" si="5"/>
        <v>858</v>
      </c>
      <c r="AS41" s="30">
        <f t="shared" si="5"/>
        <v>642</v>
      </c>
      <c r="AT41" s="30">
        <f t="shared" si="5"/>
        <v>143.632</v>
      </c>
      <c r="AU41" s="30">
        <f>SUM(AU36:AU40)</f>
        <v>0</v>
      </c>
      <c r="AV41" s="30">
        <f t="shared" si="5"/>
        <v>1396</v>
      </c>
      <c r="AW41" s="30">
        <f t="shared" si="5"/>
        <v>0</v>
      </c>
      <c r="AX41" s="30">
        <f t="shared" si="5"/>
        <v>2395.107</v>
      </c>
      <c r="AY41" s="30">
        <f t="shared" si="5"/>
        <v>0</v>
      </c>
      <c r="BB41" s="41">
        <f>SUM(B41:AY41)</f>
        <v>1231967.159</v>
      </c>
      <c r="BC41" s="30"/>
    </row>
    <row r="42" spans="1:55" ht="8.25" customHeight="1">
      <c r="A42" s="85"/>
      <c r="C42" s="34"/>
      <c r="D42" s="31"/>
      <c r="E42" s="34"/>
      <c r="F42" s="34"/>
      <c r="M42" s="34"/>
      <c r="O42" s="42"/>
      <c r="Q42" s="34"/>
      <c r="R42" s="34"/>
      <c r="S42" s="191"/>
      <c r="T42" s="34"/>
      <c r="U42" s="34"/>
      <c r="V42" s="34"/>
      <c r="W42" s="191"/>
      <c r="X42" s="34"/>
      <c r="AB42" s="34"/>
      <c r="AD42" s="42"/>
      <c r="AG42" s="34"/>
      <c r="AH42" s="34"/>
      <c r="AI42" s="79"/>
      <c r="AM42" s="34"/>
      <c r="AO42" s="34"/>
      <c r="AP42" s="34"/>
      <c r="AQ42" s="34"/>
      <c r="AR42" s="34"/>
      <c r="AT42" s="34"/>
      <c r="AU42" s="34"/>
      <c r="AV42" s="34"/>
      <c r="AW42" s="34"/>
      <c r="BC42" s="30"/>
    </row>
    <row r="43" spans="1:55" ht="12.75">
      <c r="A43" s="38" t="s">
        <v>303</v>
      </c>
      <c r="C43" s="34"/>
      <c r="D43" s="31"/>
      <c r="E43" s="34"/>
      <c r="F43" s="34"/>
      <c r="G43" s="30"/>
      <c r="K43" s="31"/>
      <c r="M43" s="34"/>
      <c r="O43" s="42"/>
      <c r="Q43" s="34"/>
      <c r="R43" s="34"/>
      <c r="S43" s="191"/>
      <c r="T43" s="34"/>
      <c r="U43" s="34"/>
      <c r="V43" s="34"/>
      <c r="W43" s="191"/>
      <c r="X43" s="34"/>
      <c r="AB43" s="34"/>
      <c r="AD43" s="42"/>
      <c r="AG43" s="34"/>
      <c r="AH43" s="34"/>
      <c r="AI43" s="79"/>
      <c r="AM43" s="34"/>
      <c r="AO43" s="34"/>
      <c r="AP43" s="34"/>
      <c r="AQ43" s="34"/>
      <c r="AR43" s="34"/>
      <c r="AT43" s="34"/>
      <c r="AU43" s="34"/>
      <c r="AV43" s="34"/>
      <c r="AW43" s="34"/>
      <c r="BC43" s="30"/>
    </row>
    <row r="44" spans="1:55" ht="12.75">
      <c r="A44" s="40" t="s">
        <v>297</v>
      </c>
      <c r="B44" s="31">
        <v>176945</v>
      </c>
      <c r="C44" s="31">
        <v>134778</v>
      </c>
      <c r="D44" s="31">
        <v>120866</v>
      </c>
      <c r="E44" s="110">
        <v>60093</v>
      </c>
      <c r="F44" s="110">
        <v>44150.33</v>
      </c>
      <c r="G44" s="41">
        <v>20922</v>
      </c>
      <c r="H44" s="31">
        <v>49847</v>
      </c>
      <c r="I44" s="31">
        <v>43321</v>
      </c>
      <c r="J44" s="31">
        <v>34545</v>
      </c>
      <c r="K44" s="31">
        <v>36812</v>
      </c>
      <c r="L44" s="31">
        <v>34512</v>
      </c>
      <c r="M44" s="31">
        <v>39505</v>
      </c>
      <c r="N44" s="31">
        <v>11983</v>
      </c>
      <c r="O44" s="110">
        <v>14135</v>
      </c>
      <c r="P44" s="31">
        <v>40688</v>
      </c>
      <c r="Q44" s="110">
        <v>31413</v>
      </c>
      <c r="R44" s="110">
        <v>34813</v>
      </c>
      <c r="S44" s="191">
        <v>16713</v>
      </c>
      <c r="T44" s="110">
        <v>22036</v>
      </c>
      <c r="U44" s="110">
        <v>21449.049</v>
      </c>
      <c r="V44" s="110">
        <v>32228</v>
      </c>
      <c r="W44" s="191">
        <v>14008</v>
      </c>
      <c r="X44" s="110">
        <v>6848</v>
      </c>
      <c r="Y44" s="31">
        <v>32093.783</v>
      </c>
      <c r="Z44" s="31">
        <v>38036</v>
      </c>
      <c r="AA44" s="31">
        <v>1959</v>
      </c>
      <c r="AB44" s="110">
        <v>18400</v>
      </c>
      <c r="AC44" s="31">
        <v>0</v>
      </c>
      <c r="AD44" s="110">
        <v>1341</v>
      </c>
      <c r="AE44" s="31">
        <v>7878</v>
      </c>
      <c r="AF44" s="31">
        <v>4325</v>
      </c>
      <c r="AG44" s="110">
        <v>4849</v>
      </c>
      <c r="AH44" s="110">
        <v>989</v>
      </c>
      <c r="AI44" s="31">
        <v>4454</v>
      </c>
      <c r="AJ44" s="31">
        <v>2743</v>
      </c>
      <c r="AK44" s="31">
        <v>7907</v>
      </c>
      <c r="AL44" s="31">
        <v>3080.927</v>
      </c>
      <c r="AM44" s="110">
        <v>535</v>
      </c>
      <c r="AN44" s="31">
        <v>3706</v>
      </c>
      <c r="AO44" s="110">
        <v>86</v>
      </c>
      <c r="AP44" s="110">
        <v>896</v>
      </c>
      <c r="AQ44" s="110">
        <v>402</v>
      </c>
      <c r="AR44" s="110">
        <v>2486</v>
      </c>
      <c r="AS44" s="31">
        <v>965</v>
      </c>
      <c r="AT44" s="110">
        <v>239.386</v>
      </c>
      <c r="AU44" s="110">
        <v>2645</v>
      </c>
      <c r="AV44" s="110">
        <v>1396</v>
      </c>
      <c r="AW44" s="110">
        <v>573</v>
      </c>
      <c r="AX44" s="31">
        <v>248.303</v>
      </c>
      <c r="AY44" s="31">
        <v>243</v>
      </c>
      <c r="BB44" s="41">
        <f>SUM(B44:AY44)</f>
        <v>1185086.778</v>
      </c>
      <c r="BC44" s="30"/>
    </row>
    <row r="45" spans="1:55" ht="12.75">
      <c r="A45" s="40" t="s">
        <v>304</v>
      </c>
      <c r="B45" s="31">
        <v>7605</v>
      </c>
      <c r="C45" s="31">
        <v>0</v>
      </c>
      <c r="D45" s="31">
        <v>0</v>
      </c>
      <c r="E45" s="110">
        <v>14961</v>
      </c>
      <c r="F45" s="110">
        <v>42540.269</v>
      </c>
      <c r="G45" s="41">
        <v>29949</v>
      </c>
      <c r="H45" s="31"/>
      <c r="I45" s="31">
        <v>0</v>
      </c>
      <c r="J45" s="31"/>
      <c r="L45" s="31">
        <v>0</v>
      </c>
      <c r="M45" s="31">
        <v>0</v>
      </c>
      <c r="N45" s="31">
        <v>0</v>
      </c>
      <c r="O45" s="110">
        <v>0</v>
      </c>
      <c r="P45" s="31"/>
      <c r="Q45" s="110">
        <v>0</v>
      </c>
      <c r="R45" s="110">
        <v>0</v>
      </c>
      <c r="S45" s="191">
        <v>833</v>
      </c>
      <c r="T45" s="110">
        <v>0</v>
      </c>
      <c r="U45" s="110">
        <v>3535.617</v>
      </c>
      <c r="V45" s="110">
        <v>0</v>
      </c>
      <c r="W45" s="191">
        <v>0</v>
      </c>
      <c r="X45" s="191">
        <v>0</v>
      </c>
      <c r="Y45" s="191">
        <v>0</v>
      </c>
      <c r="Z45" s="31">
        <v>0</v>
      </c>
      <c r="AA45" s="31">
        <v>0</v>
      </c>
      <c r="AB45" s="110">
        <v>0</v>
      </c>
      <c r="AC45" s="31">
        <v>9611.711</v>
      </c>
      <c r="AD45" s="110">
        <v>1061</v>
      </c>
      <c r="AE45" s="31">
        <v>0</v>
      </c>
      <c r="AF45" s="31">
        <v>0</v>
      </c>
      <c r="AG45" s="110"/>
      <c r="AH45" s="110"/>
      <c r="AI45" s="31">
        <v>2405</v>
      </c>
      <c r="AJ45" s="31">
        <v>0</v>
      </c>
      <c r="AK45" s="31"/>
      <c r="AL45" s="31"/>
      <c r="AM45" s="110">
        <v>1509</v>
      </c>
      <c r="AN45" s="31"/>
      <c r="AO45" s="110">
        <v>594</v>
      </c>
      <c r="AP45" s="110"/>
      <c r="AQ45" s="110">
        <v>1048</v>
      </c>
      <c r="AR45" s="110"/>
      <c r="AS45" s="31"/>
      <c r="AT45" s="110">
        <v>0</v>
      </c>
      <c r="AU45" s="110"/>
      <c r="AV45" s="110">
        <v>0</v>
      </c>
      <c r="AW45" s="110">
        <v>1771</v>
      </c>
      <c r="AX45" s="31">
        <v>361.137</v>
      </c>
      <c r="AY45" s="31">
        <v>0</v>
      </c>
      <c r="BB45" s="41">
        <f>SUM(B45:AY45)</f>
        <v>117784.734</v>
      </c>
      <c r="BC45" s="30"/>
    </row>
    <row r="46" spans="1:55" ht="5.25" customHeight="1">
      <c r="A46" s="85"/>
      <c r="C46" s="34"/>
      <c r="D46" s="31"/>
      <c r="E46" s="34"/>
      <c r="F46" s="34"/>
      <c r="G46" s="31"/>
      <c r="K46" s="30"/>
      <c r="M46" s="34"/>
      <c r="O46" s="42"/>
      <c r="Q46" s="34"/>
      <c r="R46" s="34"/>
      <c r="S46" s="191"/>
      <c r="T46" s="34"/>
      <c r="U46" s="34"/>
      <c r="V46" s="34"/>
      <c r="W46" s="191"/>
      <c r="X46" s="34"/>
      <c r="AB46" s="34"/>
      <c r="AD46" s="42"/>
      <c r="AG46" s="34"/>
      <c r="AH46" s="34"/>
      <c r="AI46" s="79"/>
      <c r="AM46" s="34"/>
      <c r="AO46" s="34"/>
      <c r="AP46" s="34"/>
      <c r="AQ46" s="34"/>
      <c r="AR46" s="34"/>
      <c r="AT46" s="34"/>
      <c r="AU46" s="34"/>
      <c r="AV46" s="34"/>
      <c r="AW46" s="34"/>
      <c r="BC46" s="30"/>
    </row>
    <row r="47" spans="1:55" ht="12.75">
      <c r="A47" s="284" t="s">
        <v>305</v>
      </c>
      <c r="B47" s="30">
        <f>SUM(B44:B46)</f>
        <v>184550</v>
      </c>
      <c r="C47" s="30">
        <f aca="true" t="shared" si="6" ref="C47:AY47">SUM(C44:C46)</f>
        <v>134778</v>
      </c>
      <c r="D47" s="30">
        <f t="shared" si="6"/>
        <v>120866</v>
      </c>
      <c r="E47" s="30">
        <f t="shared" si="6"/>
        <v>75054</v>
      </c>
      <c r="F47" s="30">
        <f t="shared" si="6"/>
        <v>86690.599</v>
      </c>
      <c r="G47" s="30">
        <f t="shared" si="6"/>
        <v>50871</v>
      </c>
      <c r="H47" s="30">
        <f t="shared" si="6"/>
        <v>49847</v>
      </c>
      <c r="I47" s="30">
        <f t="shared" si="6"/>
        <v>43321</v>
      </c>
      <c r="J47" s="30">
        <f t="shared" si="6"/>
        <v>34545</v>
      </c>
      <c r="K47" s="30">
        <f t="shared" si="6"/>
        <v>36812</v>
      </c>
      <c r="L47" s="30">
        <f t="shared" si="6"/>
        <v>34512</v>
      </c>
      <c r="M47" s="30">
        <f t="shared" si="6"/>
        <v>39505</v>
      </c>
      <c r="N47" s="30">
        <f t="shared" si="6"/>
        <v>11983</v>
      </c>
      <c r="O47" s="30">
        <f t="shared" si="6"/>
        <v>14135</v>
      </c>
      <c r="P47" s="30">
        <f t="shared" si="6"/>
        <v>40688</v>
      </c>
      <c r="Q47" s="30">
        <f t="shared" si="6"/>
        <v>31413</v>
      </c>
      <c r="R47" s="30">
        <f t="shared" si="6"/>
        <v>34813</v>
      </c>
      <c r="S47" s="30">
        <f t="shared" si="6"/>
        <v>17546</v>
      </c>
      <c r="T47" s="30">
        <f t="shared" si="6"/>
        <v>22036</v>
      </c>
      <c r="U47" s="30">
        <f t="shared" si="6"/>
        <v>24984.665999999997</v>
      </c>
      <c r="V47" s="30">
        <f t="shared" si="6"/>
        <v>32228</v>
      </c>
      <c r="W47" s="30">
        <f t="shared" si="6"/>
        <v>14008</v>
      </c>
      <c r="X47" s="30">
        <f t="shared" si="6"/>
        <v>6848</v>
      </c>
      <c r="Y47" s="30">
        <f t="shared" si="6"/>
        <v>32093.783</v>
      </c>
      <c r="Z47" s="30">
        <f t="shared" si="6"/>
        <v>38036</v>
      </c>
      <c r="AA47" s="30">
        <f t="shared" si="6"/>
        <v>1959</v>
      </c>
      <c r="AB47" s="30">
        <f t="shared" si="6"/>
        <v>18400</v>
      </c>
      <c r="AC47" s="30">
        <f t="shared" si="6"/>
        <v>9611.711</v>
      </c>
      <c r="AD47" s="30">
        <f t="shared" si="6"/>
        <v>2402</v>
      </c>
      <c r="AE47" s="30">
        <f t="shared" si="6"/>
        <v>7878</v>
      </c>
      <c r="AF47" s="30">
        <f t="shared" si="6"/>
        <v>4325</v>
      </c>
      <c r="AG47" s="30">
        <f t="shared" si="6"/>
        <v>4849</v>
      </c>
      <c r="AH47" s="30">
        <f t="shared" si="6"/>
        <v>989</v>
      </c>
      <c r="AI47" s="30">
        <f t="shared" si="6"/>
        <v>6859</v>
      </c>
      <c r="AJ47" s="30">
        <f t="shared" si="6"/>
        <v>2743</v>
      </c>
      <c r="AK47" s="30">
        <f t="shared" si="6"/>
        <v>7907</v>
      </c>
      <c r="AL47" s="30">
        <f t="shared" si="6"/>
        <v>3080.927</v>
      </c>
      <c r="AM47" s="30">
        <f t="shared" si="6"/>
        <v>2044</v>
      </c>
      <c r="AN47" s="30">
        <f t="shared" si="6"/>
        <v>3706</v>
      </c>
      <c r="AO47" s="30">
        <f t="shared" si="6"/>
        <v>680</v>
      </c>
      <c r="AP47" s="30">
        <f t="shared" si="6"/>
        <v>896</v>
      </c>
      <c r="AQ47" s="30">
        <f t="shared" si="6"/>
        <v>1450</v>
      </c>
      <c r="AR47" s="30">
        <f t="shared" si="6"/>
        <v>2486</v>
      </c>
      <c r="AS47" s="30">
        <f t="shared" si="6"/>
        <v>965</v>
      </c>
      <c r="AT47" s="30">
        <f t="shared" si="6"/>
        <v>239.386</v>
      </c>
      <c r="AU47" s="30">
        <f t="shared" si="6"/>
        <v>2645</v>
      </c>
      <c r="AV47" s="30">
        <f t="shared" si="6"/>
        <v>1396</v>
      </c>
      <c r="AW47" s="30">
        <f t="shared" si="6"/>
        <v>2344</v>
      </c>
      <c r="AX47" s="30">
        <f t="shared" si="6"/>
        <v>609.44</v>
      </c>
      <c r="AY47" s="30">
        <f t="shared" si="6"/>
        <v>243</v>
      </c>
      <c r="BB47" s="41">
        <f>SUM(B47:AY47)</f>
        <v>1302871.5119999996</v>
      </c>
      <c r="BC47" s="30"/>
    </row>
    <row r="48" spans="1:55" ht="8.25" customHeight="1">
      <c r="A48" s="85"/>
      <c r="C48" s="34"/>
      <c r="D48" s="31"/>
      <c r="E48" s="34"/>
      <c r="F48" s="34"/>
      <c r="K48" s="30"/>
      <c r="M48" s="34"/>
      <c r="O48" s="42"/>
      <c r="Q48" s="34"/>
      <c r="R48" s="34"/>
      <c r="S48" s="191"/>
      <c r="T48" s="34"/>
      <c r="U48" s="34"/>
      <c r="V48" s="34"/>
      <c r="W48" s="191"/>
      <c r="X48" s="34"/>
      <c r="AB48" s="34"/>
      <c r="AD48" s="42"/>
      <c r="AG48" s="34"/>
      <c r="AH48" s="34"/>
      <c r="AI48" s="79"/>
      <c r="AM48" s="34"/>
      <c r="AO48" s="34"/>
      <c r="AP48" s="34"/>
      <c r="AQ48" s="34"/>
      <c r="AR48" s="34"/>
      <c r="AT48" s="34"/>
      <c r="AU48" s="34"/>
      <c r="AV48" s="34"/>
      <c r="AW48" s="34"/>
      <c r="BC48" s="30"/>
    </row>
    <row r="49" spans="1:55" ht="12.75">
      <c r="A49" s="38" t="s">
        <v>306</v>
      </c>
      <c r="B49" s="30">
        <v>0</v>
      </c>
      <c r="C49" s="31">
        <v>46918</v>
      </c>
      <c r="D49" s="31">
        <v>22262</v>
      </c>
      <c r="E49" s="30">
        <v>0</v>
      </c>
      <c r="F49" s="30">
        <v>38.72</v>
      </c>
      <c r="G49" s="30">
        <v>0</v>
      </c>
      <c r="H49" s="30">
        <v>0</v>
      </c>
      <c r="I49" s="30">
        <v>0</v>
      </c>
      <c r="J49" s="30">
        <v>0</v>
      </c>
      <c r="K49" s="41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2866</v>
      </c>
      <c r="R49" s="30">
        <v>4817</v>
      </c>
      <c r="S49" s="191">
        <v>0</v>
      </c>
      <c r="T49" s="30">
        <v>0</v>
      </c>
      <c r="U49" s="30">
        <v>0</v>
      </c>
      <c r="V49" s="30">
        <v>0</v>
      </c>
      <c r="W49" s="191">
        <v>36.3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55.836</v>
      </c>
      <c r="AD49" s="30">
        <v>0</v>
      </c>
      <c r="AE49" s="30">
        <v>0</v>
      </c>
      <c r="AF49" s="30">
        <v>653</v>
      </c>
      <c r="AG49" s="30">
        <v>0</v>
      </c>
      <c r="AH49" s="30">
        <v>0</v>
      </c>
      <c r="AI49" s="30">
        <v>8970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BB49" s="41">
        <f>SUM(B49:AY49)</f>
        <v>86616.856</v>
      </c>
      <c r="BC49" s="30"/>
    </row>
    <row r="50" spans="1:55" ht="8.25" customHeight="1">
      <c r="A50" s="85"/>
      <c r="C50" s="34"/>
      <c r="D50" s="31"/>
      <c r="E50" s="34"/>
      <c r="F50" s="34"/>
      <c r="K50" s="30"/>
      <c r="M50" s="34"/>
      <c r="O50" s="42"/>
      <c r="Q50" s="34"/>
      <c r="R50" s="34"/>
      <c r="S50" s="191"/>
      <c r="T50" s="34"/>
      <c r="U50" s="34"/>
      <c r="V50" s="34"/>
      <c r="W50" s="191"/>
      <c r="X50" s="34"/>
      <c r="AB50" s="34"/>
      <c r="AD50" s="42"/>
      <c r="AG50" s="34"/>
      <c r="AH50" s="34"/>
      <c r="AI50" s="79"/>
      <c r="AM50" s="34"/>
      <c r="AO50" s="34"/>
      <c r="AP50" s="34"/>
      <c r="AQ50" s="34"/>
      <c r="AR50" s="34"/>
      <c r="AT50" s="34"/>
      <c r="AU50" s="34"/>
      <c r="AV50" s="34"/>
      <c r="AW50" s="34"/>
      <c r="AX50" s="34"/>
      <c r="AY50" s="34"/>
      <c r="BC50" s="30"/>
    </row>
    <row r="51" spans="1:55" ht="12.75">
      <c r="A51" s="38" t="s">
        <v>307</v>
      </c>
      <c r="B51" s="30">
        <v>0</v>
      </c>
      <c r="C51" s="31">
        <v>0</v>
      </c>
      <c r="D51" s="31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41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191">
        <v>0</v>
      </c>
      <c r="T51" s="30">
        <v>0</v>
      </c>
      <c r="U51" s="30">
        <v>0</v>
      </c>
      <c r="V51" s="30">
        <v>0</v>
      </c>
      <c r="W51" s="191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30">
        <v>0</v>
      </c>
      <c r="AX51" s="30">
        <v>0</v>
      </c>
      <c r="AY51" s="30">
        <v>0</v>
      </c>
      <c r="BB51" s="41">
        <f>SUM(B51:AY51)</f>
        <v>0</v>
      </c>
      <c r="BC51" s="30"/>
    </row>
    <row r="52" spans="1:55" ht="8.25" customHeight="1">
      <c r="A52" s="85"/>
      <c r="C52" s="34"/>
      <c r="D52" s="31"/>
      <c r="E52" s="34"/>
      <c r="F52" s="34"/>
      <c r="M52" s="34"/>
      <c r="O52" s="42"/>
      <c r="Q52" s="34"/>
      <c r="R52" s="34"/>
      <c r="S52" s="191"/>
      <c r="T52" s="34"/>
      <c r="U52" s="34"/>
      <c r="V52" s="34"/>
      <c r="W52" s="191"/>
      <c r="X52" s="34"/>
      <c r="AB52" s="34"/>
      <c r="AD52" s="42"/>
      <c r="AG52" s="34"/>
      <c r="AH52" s="34"/>
      <c r="AI52" s="79"/>
      <c r="AM52" s="34"/>
      <c r="AO52" s="34"/>
      <c r="AP52" s="34"/>
      <c r="AQ52" s="34"/>
      <c r="AR52" s="34"/>
      <c r="AT52" s="34"/>
      <c r="AU52" s="34"/>
      <c r="AV52" s="34"/>
      <c r="AW52" s="34"/>
      <c r="BC52" s="30"/>
    </row>
    <row r="53" spans="1:55" ht="12.75">
      <c r="A53" s="38" t="s">
        <v>308</v>
      </c>
      <c r="C53" s="34"/>
      <c r="D53" s="31">
        <v>0</v>
      </c>
      <c r="E53" s="34"/>
      <c r="F53" s="34"/>
      <c r="G53" s="30"/>
      <c r="K53" s="30"/>
      <c r="M53" s="34"/>
      <c r="O53" s="42"/>
      <c r="Q53" s="34"/>
      <c r="R53" s="34"/>
      <c r="S53" s="191"/>
      <c r="T53" s="34"/>
      <c r="U53" s="34"/>
      <c r="V53" s="34"/>
      <c r="W53" s="191">
        <v>0</v>
      </c>
      <c r="X53" s="34"/>
      <c r="AB53" s="34"/>
      <c r="AD53" s="42"/>
      <c r="AG53" s="34"/>
      <c r="AH53" s="34"/>
      <c r="AI53" s="79"/>
      <c r="AM53" s="34"/>
      <c r="AO53" s="34"/>
      <c r="AP53" s="34"/>
      <c r="AQ53" s="34"/>
      <c r="AR53" s="34"/>
      <c r="AT53" s="34"/>
      <c r="AU53" s="34"/>
      <c r="AV53" s="34"/>
      <c r="AW53" s="34"/>
      <c r="BB53" s="41">
        <f>SUM(B53:AY53)</f>
        <v>0</v>
      </c>
      <c r="BC53" s="30"/>
    </row>
    <row r="54" spans="1:55" ht="12.75">
      <c r="A54" s="38" t="s">
        <v>309</v>
      </c>
      <c r="B54" s="30">
        <f>+B11-B19+B32-B41-B47+B49-B51</f>
        <v>30131645</v>
      </c>
      <c r="C54" s="30">
        <f aca="true" t="shared" si="7" ref="C54:AY54">+C11-C19+C32-C41-C47+C49-C51</f>
        <v>21699861</v>
      </c>
      <c r="D54" s="30">
        <f t="shared" si="7"/>
        <v>10449367</v>
      </c>
      <c r="E54" s="30">
        <f t="shared" si="7"/>
        <v>9184385</v>
      </c>
      <c r="F54" s="30">
        <f t="shared" si="7"/>
        <v>6256200.7190000005</v>
      </c>
      <c r="G54" s="30">
        <f t="shared" si="7"/>
        <v>4032972</v>
      </c>
      <c r="H54" s="30">
        <f t="shared" si="7"/>
        <v>4392714</v>
      </c>
      <c r="I54" s="30">
        <f t="shared" si="7"/>
        <v>6690390</v>
      </c>
      <c r="J54" s="30">
        <f t="shared" si="7"/>
        <v>6139643</v>
      </c>
      <c r="K54" s="30">
        <f t="shared" si="7"/>
        <v>3846170</v>
      </c>
      <c r="L54" s="30">
        <f t="shared" si="7"/>
        <v>2680694</v>
      </c>
      <c r="M54" s="30">
        <f t="shared" si="7"/>
        <v>2674917</v>
      </c>
      <c r="N54" s="30">
        <f t="shared" si="7"/>
        <v>2433325</v>
      </c>
      <c r="O54" s="30">
        <f t="shared" si="7"/>
        <v>2554373</v>
      </c>
      <c r="P54" s="30">
        <f t="shared" si="7"/>
        <v>2293866</v>
      </c>
      <c r="Q54" s="30">
        <f t="shared" si="7"/>
        <v>2734790</v>
      </c>
      <c r="R54" s="30">
        <f t="shared" si="7"/>
        <v>1946755</v>
      </c>
      <c r="S54" s="30">
        <f t="shared" si="7"/>
        <v>2441609</v>
      </c>
      <c r="T54" s="30">
        <f t="shared" si="7"/>
        <v>1565394</v>
      </c>
      <c r="U54" s="30">
        <f t="shared" si="7"/>
        <v>1308766.7500000002</v>
      </c>
      <c r="V54" s="30">
        <f t="shared" si="7"/>
        <v>6494555</v>
      </c>
      <c r="W54" s="30">
        <f t="shared" si="7"/>
        <v>1322156.3</v>
      </c>
      <c r="X54" s="30">
        <f t="shared" si="7"/>
        <v>1206577</v>
      </c>
      <c r="Y54" s="30">
        <f t="shared" si="7"/>
        <v>1817385.456</v>
      </c>
      <c r="Z54" s="30">
        <f t="shared" si="7"/>
        <v>2799549</v>
      </c>
      <c r="AA54" s="30">
        <f t="shared" si="7"/>
        <v>790356</v>
      </c>
      <c r="AB54" s="30">
        <f t="shared" si="7"/>
        <v>948484</v>
      </c>
      <c r="AC54" s="30">
        <f t="shared" si="7"/>
        <v>1748288.7179999996</v>
      </c>
      <c r="AD54" s="30">
        <f t="shared" si="7"/>
        <v>536399</v>
      </c>
      <c r="AE54" s="30">
        <f t="shared" si="7"/>
        <v>101931</v>
      </c>
      <c r="AF54" s="30">
        <f t="shared" si="7"/>
        <v>293935</v>
      </c>
      <c r="AG54" s="30">
        <f t="shared" si="7"/>
        <v>275924</v>
      </c>
      <c r="AH54" s="30">
        <f t="shared" si="7"/>
        <v>142076</v>
      </c>
      <c r="AI54" s="30">
        <f t="shared" si="7"/>
        <v>193430</v>
      </c>
      <c r="AJ54" s="30">
        <f t="shared" si="7"/>
        <v>266269</v>
      </c>
      <c r="AK54" s="30">
        <f t="shared" si="7"/>
        <v>167351</v>
      </c>
      <c r="AL54" s="30">
        <f t="shared" si="7"/>
        <v>72380.43000000001</v>
      </c>
      <c r="AM54" s="30">
        <f t="shared" si="7"/>
        <v>117890</v>
      </c>
      <c r="AN54" s="30">
        <f t="shared" si="7"/>
        <v>79895</v>
      </c>
      <c r="AO54" s="30">
        <f t="shared" si="7"/>
        <v>89599</v>
      </c>
      <c r="AP54" s="30">
        <f t="shared" si="7"/>
        <v>34837</v>
      </c>
      <c r="AQ54" s="30">
        <f t="shared" si="7"/>
        <v>15088</v>
      </c>
      <c r="AR54" s="30">
        <f t="shared" si="7"/>
        <v>57375</v>
      </c>
      <c r="AS54" s="30">
        <f t="shared" si="7"/>
        <v>16958</v>
      </c>
      <c r="AT54" s="30">
        <f t="shared" si="7"/>
        <v>6379.3630000000085</v>
      </c>
      <c r="AU54" s="30">
        <f t="shared" si="7"/>
        <v>22745</v>
      </c>
      <c r="AV54" s="30">
        <f t="shared" si="7"/>
        <v>8974</v>
      </c>
      <c r="AW54" s="30">
        <f>+AW11-AW19+AW32-AW41-AW47+AW49-AW51</f>
        <v>-6393</v>
      </c>
      <c r="AX54" s="30">
        <f t="shared" si="7"/>
        <v>-25934.367999999995</v>
      </c>
      <c r="AY54" s="30">
        <f t="shared" si="7"/>
        <v>-517</v>
      </c>
      <c r="BB54" s="41">
        <f>SUM(B54:AY54)</f>
        <v>145051780.368</v>
      </c>
      <c r="BC54" s="30"/>
    </row>
    <row r="55" spans="1:55" ht="8.25" customHeight="1">
      <c r="A55" s="85"/>
      <c r="C55" s="34"/>
      <c r="D55" s="31"/>
      <c r="E55" s="34"/>
      <c r="F55" s="34"/>
      <c r="O55" s="42"/>
      <c r="Q55" s="34"/>
      <c r="R55" s="34"/>
      <c r="S55" s="191"/>
      <c r="T55" s="34"/>
      <c r="U55" s="34"/>
      <c r="V55" s="34"/>
      <c r="W55" s="191"/>
      <c r="X55" s="34"/>
      <c r="AB55" s="34"/>
      <c r="AD55" s="42"/>
      <c r="AG55" s="34"/>
      <c r="AH55" s="34"/>
      <c r="AI55" s="79"/>
      <c r="AM55" s="34"/>
      <c r="AO55" s="34"/>
      <c r="AP55" s="34"/>
      <c r="AQ55" s="34"/>
      <c r="AR55" s="34"/>
      <c r="AT55" s="34"/>
      <c r="AU55" s="34"/>
      <c r="AV55" s="34"/>
      <c r="AW55" s="34"/>
      <c r="BC55" s="30"/>
    </row>
    <row r="56" spans="1:55" ht="12.75">
      <c r="A56" s="38" t="s">
        <v>310</v>
      </c>
      <c r="B56" s="30">
        <f>+B57-B58</f>
        <v>0</v>
      </c>
      <c r="C56" s="30">
        <f aca="true" t="shared" si="8" ref="C56:AY56">+C57-C58</f>
        <v>0</v>
      </c>
      <c r="D56" s="30">
        <f t="shared" si="8"/>
        <v>0</v>
      </c>
      <c r="E56" s="30">
        <f t="shared" si="8"/>
        <v>0</v>
      </c>
      <c r="F56" s="30">
        <f t="shared" si="8"/>
        <v>0</v>
      </c>
      <c r="G56" s="30">
        <f t="shared" si="8"/>
        <v>0</v>
      </c>
      <c r="H56" s="30">
        <f t="shared" si="8"/>
        <v>0</v>
      </c>
      <c r="I56" s="30">
        <f t="shared" si="8"/>
        <v>0</v>
      </c>
      <c r="J56" s="30">
        <f t="shared" si="8"/>
        <v>0</v>
      </c>
      <c r="K56" s="30">
        <f t="shared" si="8"/>
        <v>0</v>
      </c>
      <c r="L56" s="30">
        <f t="shared" si="8"/>
        <v>0</v>
      </c>
      <c r="M56" s="30">
        <f t="shared" si="8"/>
        <v>0</v>
      </c>
      <c r="N56" s="30">
        <f t="shared" si="8"/>
        <v>0</v>
      </c>
      <c r="O56" s="30">
        <f t="shared" si="8"/>
        <v>0</v>
      </c>
      <c r="P56" s="30">
        <f t="shared" si="8"/>
        <v>0</v>
      </c>
      <c r="Q56" s="30">
        <f t="shared" si="8"/>
        <v>0</v>
      </c>
      <c r="R56" s="30">
        <f t="shared" si="8"/>
        <v>0</v>
      </c>
      <c r="S56" s="30">
        <f t="shared" si="8"/>
        <v>0</v>
      </c>
      <c r="T56" s="30">
        <f t="shared" si="8"/>
        <v>0</v>
      </c>
      <c r="U56" s="30">
        <f t="shared" si="8"/>
        <v>0</v>
      </c>
      <c r="V56" s="30">
        <f t="shared" si="8"/>
        <v>0</v>
      </c>
      <c r="W56" s="30">
        <f t="shared" si="8"/>
        <v>0</v>
      </c>
      <c r="X56" s="30">
        <f t="shared" si="8"/>
        <v>0</v>
      </c>
      <c r="Y56" s="30">
        <f t="shared" si="8"/>
        <v>0</v>
      </c>
      <c r="Z56" s="30">
        <f t="shared" si="8"/>
        <v>0</v>
      </c>
      <c r="AA56" s="30">
        <f t="shared" si="8"/>
        <v>0</v>
      </c>
      <c r="AB56" s="30">
        <f t="shared" si="8"/>
        <v>0</v>
      </c>
      <c r="AC56" s="30">
        <f t="shared" si="8"/>
        <v>0</v>
      </c>
      <c r="AD56" s="30">
        <f t="shared" si="8"/>
        <v>0</v>
      </c>
      <c r="AE56" s="30">
        <f t="shared" si="8"/>
        <v>0</v>
      </c>
      <c r="AF56" s="30">
        <f t="shared" si="8"/>
        <v>0</v>
      </c>
      <c r="AG56" s="30">
        <f t="shared" si="8"/>
        <v>0</v>
      </c>
      <c r="AH56" s="30">
        <f t="shared" si="8"/>
        <v>0</v>
      </c>
      <c r="AI56" s="30">
        <f t="shared" si="8"/>
        <v>0</v>
      </c>
      <c r="AJ56" s="30">
        <f t="shared" si="8"/>
        <v>0</v>
      </c>
      <c r="AK56" s="30">
        <f t="shared" si="8"/>
        <v>0</v>
      </c>
      <c r="AL56" s="30">
        <f t="shared" si="8"/>
        <v>0</v>
      </c>
      <c r="AM56" s="30">
        <f t="shared" si="8"/>
        <v>0</v>
      </c>
      <c r="AN56" s="30">
        <f t="shared" si="8"/>
        <v>0</v>
      </c>
      <c r="AO56" s="30">
        <f t="shared" si="8"/>
        <v>0</v>
      </c>
      <c r="AP56" s="30">
        <f t="shared" si="8"/>
        <v>0</v>
      </c>
      <c r="AQ56" s="30">
        <f t="shared" si="8"/>
        <v>0</v>
      </c>
      <c r="AR56" s="30">
        <f t="shared" si="8"/>
        <v>0</v>
      </c>
      <c r="AS56" s="30">
        <f t="shared" si="8"/>
        <v>0</v>
      </c>
      <c r="AT56" s="30">
        <f t="shared" si="8"/>
        <v>0</v>
      </c>
      <c r="AU56" s="30">
        <f t="shared" si="8"/>
        <v>0</v>
      </c>
      <c r="AV56" s="30">
        <f t="shared" si="8"/>
        <v>0</v>
      </c>
      <c r="AW56" s="30">
        <f t="shared" si="8"/>
        <v>0</v>
      </c>
      <c r="AX56" s="30">
        <f t="shared" si="8"/>
        <v>0</v>
      </c>
      <c r="AY56" s="30">
        <f t="shared" si="8"/>
        <v>0</v>
      </c>
      <c r="BB56" s="41">
        <f>SUM(B56:AY56)</f>
        <v>0</v>
      </c>
      <c r="BC56" s="30"/>
    </row>
    <row r="57" spans="1:55" ht="12.75">
      <c r="A57" s="40" t="s">
        <v>311</v>
      </c>
      <c r="B57" s="30">
        <v>0</v>
      </c>
      <c r="C57" s="31">
        <v>0</v>
      </c>
      <c r="D57" s="31">
        <v>0</v>
      </c>
      <c r="E57" s="30">
        <v>0</v>
      </c>
      <c r="F57" s="30">
        <v>0</v>
      </c>
      <c r="G57" s="41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191">
        <v>0</v>
      </c>
      <c r="T57" s="30">
        <v>0</v>
      </c>
      <c r="U57" s="30">
        <v>0</v>
      </c>
      <c r="V57" s="30">
        <v>0</v>
      </c>
      <c r="W57" s="191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BB57" s="41">
        <f>SUM(B57:AY57)</f>
        <v>0</v>
      </c>
      <c r="BC57" s="30"/>
    </row>
    <row r="58" spans="1:54" ht="12.75">
      <c r="A58" s="40" t="s">
        <v>312</v>
      </c>
      <c r="B58" s="30">
        <v>0</v>
      </c>
      <c r="C58" s="31">
        <v>0</v>
      </c>
      <c r="D58" s="31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41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191">
        <v>0</v>
      </c>
      <c r="T58" s="30">
        <v>0</v>
      </c>
      <c r="U58" s="30">
        <v>0</v>
      </c>
      <c r="V58" s="30">
        <v>0</v>
      </c>
      <c r="W58" s="191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BB58" s="41">
        <f>SUM(B58:AY58)</f>
        <v>0</v>
      </c>
    </row>
    <row r="59" spans="1:55" ht="8.25" customHeight="1">
      <c r="A59" s="38"/>
      <c r="C59" s="34"/>
      <c r="D59" s="31"/>
      <c r="E59" s="34"/>
      <c r="F59" s="34"/>
      <c r="G59" s="30"/>
      <c r="K59" s="30"/>
      <c r="M59" s="34"/>
      <c r="O59" s="42"/>
      <c r="Q59" s="34"/>
      <c r="R59" s="34"/>
      <c r="S59" s="191"/>
      <c r="T59" s="34"/>
      <c r="U59" s="34"/>
      <c r="V59" s="34"/>
      <c r="W59" s="191"/>
      <c r="X59" s="34"/>
      <c r="AB59" s="34"/>
      <c r="AD59" s="42"/>
      <c r="AG59" s="34"/>
      <c r="AH59" s="34"/>
      <c r="AI59" s="79"/>
      <c r="AM59" s="34"/>
      <c r="AO59" s="34"/>
      <c r="AP59" s="34"/>
      <c r="AQ59" s="34"/>
      <c r="AR59" s="34"/>
      <c r="AT59" s="34"/>
      <c r="AU59" s="34"/>
      <c r="AV59" s="34"/>
      <c r="AW59" s="34"/>
      <c r="BC59" s="30"/>
    </row>
    <row r="60" spans="1:55" ht="12.75">
      <c r="A60" s="38" t="s">
        <v>313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BB60" s="41">
        <f>SUM(B60:AY60)</f>
        <v>0</v>
      </c>
      <c r="BC60" s="30"/>
    </row>
    <row r="61" spans="1:55" ht="8.25" customHeight="1">
      <c r="A61" s="38"/>
      <c r="C61" s="34"/>
      <c r="D61" s="31"/>
      <c r="E61" s="34"/>
      <c r="F61" s="34"/>
      <c r="K61" s="30"/>
      <c r="M61" s="34"/>
      <c r="O61" s="42"/>
      <c r="Q61" s="34"/>
      <c r="R61" s="34"/>
      <c r="S61" s="191"/>
      <c r="T61" s="34"/>
      <c r="U61" s="34"/>
      <c r="V61" s="34"/>
      <c r="W61" s="191"/>
      <c r="X61" s="34"/>
      <c r="AB61" s="34"/>
      <c r="AD61" s="42"/>
      <c r="AG61" s="34"/>
      <c r="AH61" s="34"/>
      <c r="AI61" s="79"/>
      <c r="AM61" s="34"/>
      <c r="AO61" s="34"/>
      <c r="AP61" s="34"/>
      <c r="AQ61" s="34"/>
      <c r="AR61" s="34"/>
      <c r="AT61" s="34"/>
      <c r="AU61" s="34"/>
      <c r="AV61" s="34"/>
      <c r="AW61" s="34"/>
      <c r="BC61" s="86"/>
    </row>
    <row r="62" spans="1:55" ht="12.75">
      <c r="A62" s="38" t="s">
        <v>314</v>
      </c>
      <c r="B62" s="30">
        <f>+B54+B56+B60</f>
        <v>30131645</v>
      </c>
      <c r="C62" s="30">
        <f>+C54+C56+C60</f>
        <v>21699861</v>
      </c>
      <c r="D62" s="30">
        <f aca="true" t="shared" si="9" ref="D62:AY62">+D54+D56+D60</f>
        <v>10449367</v>
      </c>
      <c r="E62" s="30">
        <f t="shared" si="9"/>
        <v>9184385</v>
      </c>
      <c r="F62" s="30">
        <f t="shared" si="9"/>
        <v>6256200.7190000005</v>
      </c>
      <c r="G62" s="30">
        <f t="shared" si="9"/>
        <v>4032972</v>
      </c>
      <c r="H62" s="30">
        <f t="shared" si="9"/>
        <v>4392714</v>
      </c>
      <c r="I62" s="30">
        <f t="shared" si="9"/>
        <v>6690390</v>
      </c>
      <c r="J62" s="30">
        <f t="shared" si="9"/>
        <v>6139643</v>
      </c>
      <c r="K62" s="30">
        <f t="shared" si="9"/>
        <v>3846170</v>
      </c>
      <c r="L62" s="30">
        <f t="shared" si="9"/>
        <v>2680694</v>
      </c>
      <c r="M62" s="30">
        <f t="shared" si="9"/>
        <v>2674917</v>
      </c>
      <c r="N62" s="30">
        <f t="shared" si="9"/>
        <v>2433325</v>
      </c>
      <c r="O62" s="30">
        <f t="shared" si="9"/>
        <v>2554373</v>
      </c>
      <c r="P62" s="30">
        <f t="shared" si="9"/>
        <v>2293866</v>
      </c>
      <c r="Q62" s="30">
        <f t="shared" si="9"/>
        <v>2734790</v>
      </c>
      <c r="R62" s="30">
        <f t="shared" si="9"/>
        <v>1946755</v>
      </c>
      <c r="S62" s="30">
        <f t="shared" si="9"/>
        <v>2441609</v>
      </c>
      <c r="T62" s="30">
        <f t="shared" si="9"/>
        <v>1565394</v>
      </c>
      <c r="U62" s="30">
        <f t="shared" si="9"/>
        <v>1308766.7500000002</v>
      </c>
      <c r="V62" s="30">
        <f t="shared" si="9"/>
        <v>6494555</v>
      </c>
      <c r="W62" s="30">
        <f t="shared" si="9"/>
        <v>1322156.3</v>
      </c>
      <c r="X62" s="30">
        <f t="shared" si="9"/>
        <v>1206577</v>
      </c>
      <c r="Y62" s="30">
        <f t="shared" si="9"/>
        <v>1817385.456</v>
      </c>
      <c r="Z62" s="30">
        <f t="shared" si="9"/>
        <v>2799549</v>
      </c>
      <c r="AA62" s="30">
        <f t="shared" si="9"/>
        <v>790356</v>
      </c>
      <c r="AB62" s="30">
        <f t="shared" si="9"/>
        <v>948484</v>
      </c>
      <c r="AC62" s="30">
        <f t="shared" si="9"/>
        <v>1748288.7179999996</v>
      </c>
      <c r="AD62" s="30">
        <f t="shared" si="9"/>
        <v>536399</v>
      </c>
      <c r="AE62" s="30">
        <f t="shared" si="9"/>
        <v>101931</v>
      </c>
      <c r="AF62" s="30">
        <f t="shared" si="9"/>
        <v>293935</v>
      </c>
      <c r="AG62" s="30">
        <f t="shared" si="9"/>
        <v>275924</v>
      </c>
      <c r="AH62" s="30">
        <f t="shared" si="9"/>
        <v>142076</v>
      </c>
      <c r="AI62" s="30">
        <f t="shared" si="9"/>
        <v>193430</v>
      </c>
      <c r="AJ62" s="30">
        <f t="shared" si="9"/>
        <v>266269</v>
      </c>
      <c r="AK62" s="30">
        <f t="shared" si="9"/>
        <v>167351</v>
      </c>
      <c r="AL62" s="30">
        <f t="shared" si="9"/>
        <v>72380.43000000001</v>
      </c>
      <c r="AM62" s="30">
        <f t="shared" si="9"/>
        <v>117890</v>
      </c>
      <c r="AN62" s="30">
        <f t="shared" si="9"/>
        <v>79895</v>
      </c>
      <c r="AO62" s="30">
        <f t="shared" si="9"/>
        <v>89599</v>
      </c>
      <c r="AP62" s="30">
        <f t="shared" si="9"/>
        <v>34837</v>
      </c>
      <c r="AQ62" s="30">
        <f t="shared" si="9"/>
        <v>15088</v>
      </c>
      <c r="AR62" s="30">
        <f t="shared" si="9"/>
        <v>57375</v>
      </c>
      <c r="AS62" s="30">
        <f t="shared" si="9"/>
        <v>16958</v>
      </c>
      <c r="AT62" s="30">
        <f t="shared" si="9"/>
        <v>6379.3630000000085</v>
      </c>
      <c r="AU62" s="30">
        <f t="shared" si="9"/>
        <v>22745</v>
      </c>
      <c r="AV62" s="30">
        <f t="shared" si="9"/>
        <v>8974</v>
      </c>
      <c r="AW62" s="30">
        <f t="shared" si="9"/>
        <v>-6393</v>
      </c>
      <c r="AX62" s="30">
        <f t="shared" si="9"/>
        <v>-25934.367999999995</v>
      </c>
      <c r="AY62" s="30">
        <f t="shared" si="9"/>
        <v>-517</v>
      </c>
      <c r="BA62" s="30"/>
      <c r="BB62" s="41">
        <f>SUM(B62:AY62)</f>
        <v>145051780.368</v>
      </c>
      <c r="BC62" s="30"/>
    </row>
    <row r="63" spans="1:55" ht="12.75">
      <c r="A63" s="85"/>
      <c r="C63" s="34"/>
      <c r="D63" s="31"/>
      <c r="E63" s="34"/>
      <c r="F63" s="34"/>
      <c r="K63" s="30"/>
      <c r="M63" s="34"/>
      <c r="O63" s="42"/>
      <c r="Q63" s="34"/>
      <c r="R63" s="34"/>
      <c r="S63" s="191"/>
      <c r="T63" s="34"/>
      <c r="U63" s="34"/>
      <c r="V63" s="34"/>
      <c r="W63" s="191"/>
      <c r="X63" s="34"/>
      <c r="AB63" s="34"/>
      <c r="AD63" s="42"/>
      <c r="AG63" s="34"/>
      <c r="AH63" s="34"/>
      <c r="AI63" s="79"/>
      <c r="AM63" s="34"/>
      <c r="AO63" s="34"/>
      <c r="AP63" s="34"/>
      <c r="AQ63" s="34"/>
      <c r="AR63" s="34"/>
      <c r="AT63" s="34"/>
      <c r="AU63" s="34"/>
      <c r="AV63" s="34"/>
      <c r="AW63" s="34"/>
      <c r="BC63" s="30"/>
    </row>
    <row r="64" spans="1:55" ht="12.75">
      <c r="A64" s="38" t="s">
        <v>315</v>
      </c>
      <c r="B64" s="30">
        <v>116125953</v>
      </c>
      <c r="C64" s="31">
        <v>101957398</v>
      </c>
      <c r="D64" s="31">
        <v>53673366</v>
      </c>
      <c r="E64" s="30">
        <v>47062605</v>
      </c>
      <c r="F64" s="30">
        <v>46039936.704</v>
      </c>
      <c r="G64" s="30">
        <v>28378311</v>
      </c>
      <c r="H64" s="30">
        <v>23939623</v>
      </c>
      <c r="I64" s="30">
        <v>19484344</v>
      </c>
      <c r="J64" s="30">
        <v>19680484</v>
      </c>
      <c r="K64" s="41">
        <v>18980559</v>
      </c>
      <c r="L64" s="30">
        <v>19789062</v>
      </c>
      <c r="M64" s="30">
        <v>17651901</v>
      </c>
      <c r="N64" s="30">
        <v>13242462</v>
      </c>
      <c r="O64" s="30">
        <v>13009801</v>
      </c>
      <c r="P64" s="30">
        <v>12906767</v>
      </c>
      <c r="Q64" s="30">
        <v>12011905</v>
      </c>
      <c r="R64" s="30">
        <v>11770635</v>
      </c>
      <c r="S64" s="191">
        <v>10495948</v>
      </c>
      <c r="T64" s="30">
        <v>11356951</v>
      </c>
      <c r="U64" s="30">
        <v>11387963.72125</v>
      </c>
      <c r="V64" s="30">
        <v>3549916</v>
      </c>
      <c r="W64" s="191">
        <v>8261145</v>
      </c>
      <c r="X64" s="30">
        <v>7820199</v>
      </c>
      <c r="Y64" s="30">
        <v>5928452.043</v>
      </c>
      <c r="Z64" s="30">
        <v>4830218</v>
      </c>
      <c r="AA64" s="30">
        <v>6712216</v>
      </c>
      <c r="AB64" s="30">
        <v>5461015</v>
      </c>
      <c r="AC64" s="30">
        <v>3747214.9329999997</v>
      </c>
      <c r="AD64" s="30">
        <v>2711576</v>
      </c>
      <c r="AE64" s="30">
        <v>2626241</v>
      </c>
      <c r="AF64" s="30">
        <v>2385923</v>
      </c>
      <c r="AG64" s="30">
        <v>2003247</v>
      </c>
      <c r="AH64" s="30">
        <v>2108793</v>
      </c>
      <c r="AI64" s="30">
        <v>1408019</v>
      </c>
      <c r="AJ64" s="30">
        <v>1319620</v>
      </c>
      <c r="AK64" s="30">
        <v>1308119</v>
      </c>
      <c r="AL64" s="30">
        <v>1345421.409</v>
      </c>
      <c r="AM64" s="30">
        <v>1250537</v>
      </c>
      <c r="AN64" s="30">
        <v>1102855</v>
      </c>
      <c r="AO64" s="30">
        <v>795607</v>
      </c>
      <c r="AP64" s="30">
        <v>630416</v>
      </c>
      <c r="AQ64" s="30">
        <v>580018</v>
      </c>
      <c r="AR64" s="30">
        <v>493543</v>
      </c>
      <c r="AS64" s="30">
        <v>469999</v>
      </c>
      <c r="AT64" s="30">
        <v>446348.91</v>
      </c>
      <c r="AU64" s="30">
        <v>343673</v>
      </c>
      <c r="AV64" s="30">
        <v>186416</v>
      </c>
      <c r="AW64" s="30">
        <v>104163</v>
      </c>
      <c r="AX64" s="30">
        <v>39838.294</v>
      </c>
      <c r="AY64" s="30">
        <v>8860.849</v>
      </c>
      <c r="AZ64" s="312"/>
      <c r="BB64" s="41">
        <f>SUM(B64:AY64)</f>
        <v>678925585.86325</v>
      </c>
      <c r="BC64" s="30"/>
    </row>
    <row r="65" spans="1:49" ht="4.5" customHeight="1">
      <c r="A65" s="38"/>
      <c r="C65" s="34"/>
      <c r="D65" s="34"/>
      <c r="E65" s="34"/>
      <c r="F65" s="34"/>
      <c r="M65" s="34"/>
      <c r="O65" s="42"/>
      <c r="Q65" s="34"/>
      <c r="R65" s="34"/>
      <c r="S65" s="191"/>
      <c r="T65" s="34"/>
      <c r="U65" s="34"/>
      <c r="V65" s="34"/>
      <c r="W65" s="191"/>
      <c r="X65" s="34"/>
      <c r="AB65" s="34"/>
      <c r="AD65" s="42"/>
      <c r="AG65" s="34"/>
      <c r="AH65" s="34"/>
      <c r="AI65" s="79"/>
      <c r="AM65" s="34"/>
      <c r="AO65" s="34"/>
      <c r="AP65" s="34"/>
      <c r="AQ65" s="34"/>
      <c r="AR65" s="34"/>
      <c r="AT65" s="34"/>
      <c r="AU65" s="34"/>
      <c r="AV65" s="34"/>
      <c r="AW65" s="34"/>
    </row>
    <row r="66" spans="1:49" ht="12.75">
      <c r="A66" s="38" t="s">
        <v>316</v>
      </c>
      <c r="C66" s="42"/>
      <c r="D66" s="34"/>
      <c r="E66" s="34"/>
      <c r="F66" s="34"/>
      <c r="G66" s="30"/>
      <c r="K66" s="30"/>
      <c r="M66" s="34"/>
      <c r="O66" s="42"/>
      <c r="Q66" s="34"/>
      <c r="R66" s="34"/>
      <c r="S66" s="191"/>
      <c r="T66" s="34"/>
      <c r="U66" s="34"/>
      <c r="V66" s="34"/>
      <c r="W66" s="191">
        <v>0</v>
      </c>
      <c r="X66" s="34" t="s">
        <v>59</v>
      </c>
      <c r="AB66" s="34"/>
      <c r="AD66" s="42"/>
      <c r="AG66" s="34"/>
      <c r="AH66" s="34" t="s">
        <v>59</v>
      </c>
      <c r="AJ66" s="41" t="s">
        <v>59</v>
      </c>
      <c r="AM66" s="34" t="s">
        <v>59</v>
      </c>
      <c r="AO66" s="34"/>
      <c r="AP66" s="34"/>
      <c r="AQ66" s="34"/>
      <c r="AR66" s="34"/>
      <c r="AS66" s="41" t="s">
        <v>59</v>
      </c>
      <c r="AT66" s="34"/>
      <c r="AU66" s="34"/>
      <c r="AV66" s="34"/>
      <c r="AW66" s="34"/>
    </row>
    <row r="67" spans="1:55" ht="12.75">
      <c r="A67" s="38" t="s">
        <v>317</v>
      </c>
      <c r="B67" s="30">
        <f>+B62+B64</f>
        <v>146257598</v>
      </c>
      <c r="C67" s="30">
        <f>+C62+C64</f>
        <v>123657259</v>
      </c>
      <c r="D67" s="30">
        <f aca="true" t="shared" si="10" ref="D67:AY67">+D62+D64</f>
        <v>64122733</v>
      </c>
      <c r="E67" s="30">
        <f t="shared" si="10"/>
        <v>56246990</v>
      </c>
      <c r="F67" s="30">
        <f t="shared" si="10"/>
        <v>52296137.42300001</v>
      </c>
      <c r="G67" s="30">
        <f t="shared" si="10"/>
        <v>32411283</v>
      </c>
      <c r="H67" s="30">
        <f t="shared" si="10"/>
        <v>28332337</v>
      </c>
      <c r="I67" s="30">
        <f t="shared" si="10"/>
        <v>26174734</v>
      </c>
      <c r="J67" s="30">
        <f t="shared" si="10"/>
        <v>25820127</v>
      </c>
      <c r="K67" s="30">
        <f t="shared" si="10"/>
        <v>22826729</v>
      </c>
      <c r="L67" s="30">
        <f t="shared" si="10"/>
        <v>22469756</v>
      </c>
      <c r="M67" s="30">
        <f t="shared" si="10"/>
        <v>20326818</v>
      </c>
      <c r="N67" s="30">
        <f t="shared" si="10"/>
        <v>15675787</v>
      </c>
      <c r="O67" s="30">
        <f t="shared" si="10"/>
        <v>15564174</v>
      </c>
      <c r="P67" s="30">
        <f t="shared" si="10"/>
        <v>15200633</v>
      </c>
      <c r="Q67" s="30">
        <f t="shared" si="10"/>
        <v>14746695</v>
      </c>
      <c r="R67" s="30">
        <f t="shared" si="10"/>
        <v>13717390</v>
      </c>
      <c r="S67" s="30">
        <f t="shared" si="10"/>
        <v>12937557</v>
      </c>
      <c r="T67" s="30">
        <f t="shared" si="10"/>
        <v>12922345</v>
      </c>
      <c r="U67" s="30">
        <f t="shared" si="10"/>
        <v>12696730.47125</v>
      </c>
      <c r="V67" s="30">
        <f t="shared" si="10"/>
        <v>10044471</v>
      </c>
      <c r="W67" s="30">
        <f t="shared" si="10"/>
        <v>9583301.3</v>
      </c>
      <c r="X67" s="30">
        <f t="shared" si="10"/>
        <v>9026776</v>
      </c>
      <c r="Y67" s="30">
        <f t="shared" si="10"/>
        <v>7745837.499</v>
      </c>
      <c r="Z67" s="30">
        <f t="shared" si="10"/>
        <v>7629767</v>
      </c>
      <c r="AA67" s="30">
        <f t="shared" si="10"/>
        <v>7502572</v>
      </c>
      <c r="AB67" s="30">
        <f t="shared" si="10"/>
        <v>6409499</v>
      </c>
      <c r="AC67" s="30">
        <f t="shared" si="10"/>
        <v>5495503.651</v>
      </c>
      <c r="AD67" s="30">
        <f t="shared" si="10"/>
        <v>3247975</v>
      </c>
      <c r="AE67" s="30">
        <f t="shared" si="10"/>
        <v>2728172</v>
      </c>
      <c r="AF67" s="30">
        <f t="shared" si="10"/>
        <v>2679858</v>
      </c>
      <c r="AG67" s="30">
        <f t="shared" si="10"/>
        <v>2279171</v>
      </c>
      <c r="AH67" s="30">
        <f t="shared" si="10"/>
        <v>2250869</v>
      </c>
      <c r="AI67" s="30">
        <f t="shared" si="10"/>
        <v>1601449</v>
      </c>
      <c r="AJ67" s="30">
        <f t="shared" si="10"/>
        <v>1585889</v>
      </c>
      <c r="AK67" s="30">
        <f t="shared" si="10"/>
        <v>1475470</v>
      </c>
      <c r="AL67" s="30">
        <f t="shared" si="10"/>
        <v>1417801.839</v>
      </c>
      <c r="AM67" s="30">
        <f t="shared" si="10"/>
        <v>1368427</v>
      </c>
      <c r="AN67" s="30">
        <f t="shared" si="10"/>
        <v>1182750</v>
      </c>
      <c r="AO67" s="30">
        <f t="shared" si="10"/>
        <v>885206</v>
      </c>
      <c r="AP67" s="30">
        <f t="shared" si="10"/>
        <v>665253</v>
      </c>
      <c r="AQ67" s="30">
        <f t="shared" si="10"/>
        <v>595106</v>
      </c>
      <c r="AR67" s="30">
        <f t="shared" si="10"/>
        <v>550918</v>
      </c>
      <c r="AS67" s="30">
        <f t="shared" si="10"/>
        <v>486957</v>
      </c>
      <c r="AT67" s="30">
        <f t="shared" si="10"/>
        <v>452728.273</v>
      </c>
      <c r="AU67" s="30">
        <f t="shared" si="10"/>
        <v>366418</v>
      </c>
      <c r="AV67" s="30">
        <f t="shared" si="10"/>
        <v>195390</v>
      </c>
      <c r="AW67" s="30">
        <f t="shared" si="10"/>
        <v>97770</v>
      </c>
      <c r="AX67" s="30">
        <f t="shared" si="10"/>
        <v>13903.926000000007</v>
      </c>
      <c r="AY67" s="30">
        <f t="shared" si="10"/>
        <v>8343.849</v>
      </c>
      <c r="BA67" s="30"/>
      <c r="BB67" s="41">
        <f>SUM(B67:AY67)</f>
        <v>823977366.2312499</v>
      </c>
      <c r="BC67" s="30"/>
    </row>
    <row r="68" spans="3:19" ht="12.75">
      <c r="C68" s="31"/>
      <c r="S68" s="30"/>
    </row>
    <row r="69" spans="2:53" ht="12.7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BA69" s="89"/>
    </row>
    <row r="70" spans="1:51" ht="12.75">
      <c r="A70" s="38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ht="12.75">
      <c r="P71" s="30"/>
    </row>
  </sheetData>
  <sheetProtection/>
  <printOptions/>
  <pageMargins left="0.4724409448818898" right="0.2362204724409449" top="0.7874015748031497" bottom="0" header="0.2362204724409449" footer="0.11811023622047245"/>
  <pageSetup firstPageNumber="10" useFirstPageNumber="1" horizontalDpi="600" verticalDpi="600" orientation="portrait" paperSize="9" scale="96" r:id="rId1"/>
  <headerFooter alignWithMargins="0">
    <oddHeader>&amp;C&amp;"Times New Roman,Bold"&amp;14 3.1. YFIRLIT UM BREYTINGU Á HREINNI EIGN TIL GREIÐSLU LÍFEYRIS ÁRIÐ 2003</oddHeader>
    <oddFooter>&amp;R&amp;"Times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A61"/>
  <sheetViews>
    <sheetView zoomScalePageLayoutView="0" workbookViewId="0" topLeftCell="A1">
      <pane xSplit="1" ySplit="5" topLeftCell="BB24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BK42" sqref="BK42"/>
    </sheetView>
  </sheetViews>
  <sheetFormatPr defaultColWidth="11.140625" defaultRowHeight="12.75"/>
  <cols>
    <col min="1" max="1" width="30.28125" style="41" customWidth="1"/>
    <col min="2" max="2" width="9.8515625" style="41" customWidth="1"/>
    <col min="3" max="3" width="10.00390625" style="41" customWidth="1"/>
    <col min="4" max="7" width="9.421875" style="41" customWidth="1"/>
    <col min="8" max="8" width="9.8515625" style="41" customWidth="1"/>
    <col min="9" max="15" width="9.421875" style="41" customWidth="1"/>
    <col min="16" max="22" width="9.57421875" style="41" customWidth="1"/>
    <col min="23" max="30" width="9.421875" style="41" customWidth="1"/>
    <col min="31" max="31" width="11.00390625" style="41" customWidth="1"/>
    <col min="32" max="33" width="9.421875" style="41" customWidth="1"/>
    <col min="34" max="34" width="10.140625" style="41" customWidth="1"/>
    <col min="35" max="36" width="9.421875" style="41" customWidth="1"/>
    <col min="37" max="37" width="10.421875" style="41" customWidth="1"/>
    <col min="38" max="38" width="9.421875" style="41" customWidth="1"/>
    <col min="39" max="39" width="10.421875" style="41" customWidth="1"/>
    <col min="40" max="42" width="9.421875" style="41" customWidth="1"/>
    <col min="43" max="45" width="10.00390625" style="41" customWidth="1"/>
    <col min="46" max="48" width="9.421875" style="41" customWidth="1"/>
    <col min="49" max="49" width="10.421875" style="41" customWidth="1"/>
    <col min="50" max="50" width="11.28125" style="41" customWidth="1"/>
    <col min="51" max="51" width="9.421875" style="41" customWidth="1"/>
    <col min="52" max="52" width="9.140625" style="0" customWidth="1"/>
    <col min="53" max="53" width="4.7109375" style="41" customWidth="1"/>
    <col min="54" max="54" width="12.8515625" style="41" customWidth="1"/>
    <col min="55" max="55" width="5.00390625" style="41" customWidth="1"/>
    <col min="56" max="16384" width="11.140625" style="41" customWidth="1"/>
  </cols>
  <sheetData>
    <row r="1" spans="1:55" ht="12.75" customHeight="1">
      <c r="A1" s="30"/>
      <c r="B1" s="84" t="s">
        <v>71</v>
      </c>
      <c r="C1" s="84" t="s">
        <v>71</v>
      </c>
      <c r="D1" s="84" t="s">
        <v>71</v>
      </c>
      <c r="E1" s="84" t="s">
        <v>71</v>
      </c>
      <c r="F1" s="84" t="s">
        <v>72</v>
      </c>
      <c r="G1" s="84" t="s">
        <v>71</v>
      </c>
      <c r="H1" s="84" t="s">
        <v>73</v>
      </c>
      <c r="I1" s="84" t="s">
        <v>525</v>
      </c>
      <c r="J1" s="84" t="s">
        <v>75</v>
      </c>
      <c r="K1" s="84" t="s">
        <v>71</v>
      </c>
      <c r="L1" s="84" t="s">
        <v>71</v>
      </c>
      <c r="M1" s="84" t="s">
        <v>74</v>
      </c>
      <c r="N1" s="84" t="s">
        <v>71</v>
      </c>
      <c r="O1" s="84" t="s">
        <v>71</v>
      </c>
      <c r="P1" s="84" t="s">
        <v>71</v>
      </c>
      <c r="Q1" s="84" t="s">
        <v>71</v>
      </c>
      <c r="R1" s="84" t="s">
        <v>71</v>
      </c>
      <c r="S1" s="84" t="s">
        <v>71</v>
      </c>
      <c r="T1" s="84" t="s">
        <v>71</v>
      </c>
      <c r="U1" s="84" t="s">
        <v>71</v>
      </c>
      <c r="V1" s="84" t="s">
        <v>71</v>
      </c>
      <c r="W1" s="84" t="s">
        <v>71</v>
      </c>
      <c r="X1" s="84" t="s">
        <v>76</v>
      </c>
      <c r="Y1" s="84" t="s">
        <v>78</v>
      </c>
      <c r="Z1" s="84" t="s">
        <v>71</v>
      </c>
      <c r="AA1" s="84" t="s">
        <v>71</v>
      </c>
      <c r="AB1" s="84" t="s">
        <v>71</v>
      </c>
      <c r="AC1" s="84" t="s">
        <v>80</v>
      </c>
      <c r="AD1" s="84" t="s">
        <v>79</v>
      </c>
      <c r="AE1" s="84" t="s">
        <v>71</v>
      </c>
      <c r="AF1" s="84" t="s">
        <v>71</v>
      </c>
      <c r="AG1" s="84" t="s">
        <v>71</v>
      </c>
      <c r="AH1" s="84" t="s">
        <v>71</v>
      </c>
      <c r="AI1" s="84" t="s">
        <v>71</v>
      </c>
      <c r="AJ1" s="84" t="s">
        <v>71</v>
      </c>
      <c r="AK1" s="84" t="s">
        <v>79</v>
      </c>
      <c r="AL1" s="84" t="s">
        <v>79</v>
      </c>
      <c r="AM1" s="84" t="s">
        <v>71</v>
      </c>
      <c r="AN1" s="84" t="s">
        <v>71</v>
      </c>
      <c r="AO1" s="84" t="s">
        <v>71</v>
      </c>
      <c r="AP1" s="84" t="s">
        <v>79</v>
      </c>
      <c r="AQ1" s="84" t="s">
        <v>79</v>
      </c>
      <c r="AR1" s="84" t="s">
        <v>79</v>
      </c>
      <c r="AS1" s="84" t="s">
        <v>71</v>
      </c>
      <c r="AT1" s="84" t="s">
        <v>77</v>
      </c>
      <c r="AU1" s="84" t="s">
        <v>71</v>
      </c>
      <c r="AV1" s="84" t="s">
        <v>71</v>
      </c>
      <c r="AW1" s="84" t="s">
        <v>79</v>
      </c>
      <c r="AX1" s="84" t="s">
        <v>71</v>
      </c>
      <c r="AY1" s="84" t="s">
        <v>71</v>
      </c>
      <c r="BB1" s="84" t="s">
        <v>81</v>
      </c>
      <c r="BC1" s="84"/>
    </row>
    <row r="2" spans="1:55" ht="12.75">
      <c r="A2" s="33" t="s">
        <v>64</v>
      </c>
      <c r="B2" s="84" t="s">
        <v>83</v>
      </c>
      <c r="C2" s="84" t="s">
        <v>82</v>
      </c>
      <c r="D2" s="84" t="s">
        <v>84</v>
      </c>
      <c r="E2" s="84" t="s">
        <v>86</v>
      </c>
      <c r="F2" s="84" t="s">
        <v>85</v>
      </c>
      <c r="G2" s="84" t="s">
        <v>87</v>
      </c>
      <c r="H2" s="84" t="s">
        <v>85</v>
      </c>
      <c r="I2" s="84" t="s">
        <v>97</v>
      </c>
      <c r="J2" s="84" t="s">
        <v>85</v>
      </c>
      <c r="K2" s="84" t="s">
        <v>89</v>
      </c>
      <c r="L2" s="84" t="s">
        <v>88</v>
      </c>
      <c r="M2" s="84" t="s">
        <v>85</v>
      </c>
      <c r="N2" s="84" t="s">
        <v>90</v>
      </c>
      <c r="O2" s="84" t="s">
        <v>92</v>
      </c>
      <c r="P2" s="84" t="s">
        <v>91</v>
      </c>
      <c r="Q2" s="84" t="s">
        <v>95</v>
      </c>
      <c r="R2" s="84" t="s">
        <v>94</v>
      </c>
      <c r="S2" s="84" t="s">
        <v>98</v>
      </c>
      <c r="T2" s="84" t="s">
        <v>96</v>
      </c>
      <c r="U2" s="84" t="s">
        <v>93</v>
      </c>
      <c r="V2" s="84" t="s">
        <v>102</v>
      </c>
      <c r="W2" s="84" t="s">
        <v>99</v>
      </c>
      <c r="X2" s="84" t="s">
        <v>100</v>
      </c>
      <c r="Y2" s="84" t="s">
        <v>85</v>
      </c>
      <c r="Z2" s="84" t="s">
        <v>102</v>
      </c>
      <c r="AA2" s="84" t="s">
        <v>102</v>
      </c>
      <c r="AB2" s="84" t="s">
        <v>103</v>
      </c>
      <c r="AC2" s="84" t="s">
        <v>85</v>
      </c>
      <c r="AD2" s="84" t="s">
        <v>102</v>
      </c>
      <c r="AE2" s="84" t="s">
        <v>104</v>
      </c>
      <c r="AF2" s="84" t="s">
        <v>107</v>
      </c>
      <c r="AG2" s="84" t="s">
        <v>106</v>
      </c>
      <c r="AH2" s="84" t="s">
        <v>105</v>
      </c>
      <c r="AI2" s="84" t="s">
        <v>109</v>
      </c>
      <c r="AJ2" s="84" t="s">
        <v>112</v>
      </c>
      <c r="AK2" s="84" t="s">
        <v>110</v>
      </c>
      <c r="AL2" s="84" t="s">
        <v>108</v>
      </c>
      <c r="AM2" s="84" t="s">
        <v>111</v>
      </c>
      <c r="AN2" s="84" t="s">
        <v>113</v>
      </c>
      <c r="AO2" s="84" t="s">
        <v>114</v>
      </c>
      <c r="AP2" s="84" t="s">
        <v>116</v>
      </c>
      <c r="AQ2" s="84" t="s">
        <v>115</v>
      </c>
      <c r="AR2" s="84" t="s">
        <v>117</v>
      </c>
      <c r="AS2" s="84" t="s">
        <v>102</v>
      </c>
      <c r="AT2" s="84" t="s">
        <v>101</v>
      </c>
      <c r="AU2" s="84" t="s">
        <v>422</v>
      </c>
      <c r="AV2" s="84" t="s">
        <v>118</v>
      </c>
      <c r="AW2" s="84" t="s">
        <v>119</v>
      </c>
      <c r="AX2" s="84" t="s">
        <v>120</v>
      </c>
      <c r="AY2" s="84" t="s">
        <v>121</v>
      </c>
      <c r="BB2" s="84" t="s">
        <v>122</v>
      </c>
      <c r="BC2" s="84"/>
    </row>
    <row r="3" spans="1:55" ht="12.75">
      <c r="A3" s="30"/>
      <c r="B3" s="84"/>
      <c r="C3" s="84" t="s">
        <v>125</v>
      </c>
      <c r="D3" s="84" t="s">
        <v>59</v>
      </c>
      <c r="E3" s="84" t="s">
        <v>59</v>
      </c>
      <c r="F3" s="84" t="s">
        <v>101</v>
      </c>
      <c r="G3" s="84" t="s">
        <v>128</v>
      </c>
      <c r="H3" s="84" t="s">
        <v>129</v>
      </c>
      <c r="I3" s="84"/>
      <c r="J3" s="84" t="s">
        <v>101</v>
      </c>
      <c r="K3" s="84" t="s">
        <v>59</v>
      </c>
      <c r="L3" s="84" t="s">
        <v>130</v>
      </c>
      <c r="M3" s="84" t="s">
        <v>101</v>
      </c>
      <c r="N3" s="84" t="s">
        <v>128</v>
      </c>
      <c r="O3" s="84" t="s">
        <v>59</v>
      </c>
      <c r="P3" s="84" t="s">
        <v>131</v>
      </c>
      <c r="Q3" s="84" t="s">
        <v>133</v>
      </c>
      <c r="R3" s="84" t="s">
        <v>132</v>
      </c>
      <c r="S3" s="84" t="s">
        <v>135</v>
      </c>
      <c r="T3" s="84" t="s">
        <v>134</v>
      </c>
      <c r="U3" s="84" t="s">
        <v>59</v>
      </c>
      <c r="V3" s="84" t="s">
        <v>139</v>
      </c>
      <c r="W3" s="84" t="s">
        <v>128</v>
      </c>
      <c r="X3" s="84" t="s">
        <v>136</v>
      </c>
      <c r="Y3" s="84" t="s">
        <v>138</v>
      </c>
      <c r="Z3" s="84" t="s">
        <v>144</v>
      </c>
      <c r="AA3" s="84" t="s">
        <v>137</v>
      </c>
      <c r="AB3" s="84"/>
      <c r="AC3" s="84" t="s">
        <v>101</v>
      </c>
      <c r="AD3" s="84" t="s">
        <v>141</v>
      </c>
      <c r="AE3" s="84" t="s">
        <v>140</v>
      </c>
      <c r="AF3" s="84"/>
      <c r="AG3" s="84" t="s">
        <v>143</v>
      </c>
      <c r="AH3" s="84" t="s">
        <v>142</v>
      </c>
      <c r="AI3" s="84" t="s">
        <v>395</v>
      </c>
      <c r="AJ3" s="84" t="s">
        <v>148</v>
      </c>
      <c r="AK3" s="84" t="s">
        <v>146</v>
      </c>
      <c r="AL3" s="84" t="s">
        <v>145</v>
      </c>
      <c r="AM3" s="84" t="s">
        <v>147</v>
      </c>
      <c r="AN3" s="84" t="s">
        <v>149</v>
      </c>
      <c r="AO3" s="84" t="s">
        <v>150</v>
      </c>
      <c r="AP3" s="84" t="s">
        <v>151</v>
      </c>
      <c r="AQ3" s="84" t="s">
        <v>103</v>
      </c>
      <c r="AR3" s="84" t="s">
        <v>152</v>
      </c>
      <c r="AS3" s="84" t="s">
        <v>153</v>
      </c>
      <c r="AT3" s="84" t="s">
        <v>154</v>
      </c>
      <c r="AU3" s="84" t="s">
        <v>421</v>
      </c>
      <c r="AV3" s="84" t="s">
        <v>155</v>
      </c>
      <c r="AW3" s="84" t="s">
        <v>156</v>
      </c>
      <c r="AX3" s="84" t="s">
        <v>157</v>
      </c>
      <c r="AY3" s="84" t="s">
        <v>158</v>
      </c>
      <c r="BB3" s="84" t="s">
        <v>159</v>
      </c>
      <c r="BC3" s="84"/>
    </row>
    <row r="4" spans="1:55" s="88" customFormat="1" ht="12.75">
      <c r="A4" s="84"/>
      <c r="B4" s="87" t="s">
        <v>375</v>
      </c>
      <c r="C4" s="87" t="s">
        <v>161</v>
      </c>
      <c r="D4" s="87" t="s">
        <v>166</v>
      </c>
      <c r="E4" s="87" t="s">
        <v>167</v>
      </c>
      <c r="F4" s="87" t="s">
        <v>170</v>
      </c>
      <c r="G4" s="87" t="s">
        <v>171</v>
      </c>
      <c r="H4" s="87" t="s">
        <v>172</v>
      </c>
      <c r="I4" s="87" t="s">
        <v>173</v>
      </c>
      <c r="J4" s="87" t="s">
        <v>174</v>
      </c>
      <c r="K4" s="87" t="s">
        <v>175</v>
      </c>
      <c r="L4" s="87" t="s">
        <v>176</v>
      </c>
      <c r="M4" s="87" t="s">
        <v>177</v>
      </c>
      <c r="N4" s="87" t="s">
        <v>178</v>
      </c>
      <c r="O4" s="87" t="s">
        <v>179</v>
      </c>
      <c r="P4" s="87" t="s">
        <v>180</v>
      </c>
      <c r="Q4" s="87" t="s">
        <v>181</v>
      </c>
      <c r="R4" s="87" t="s">
        <v>182</v>
      </c>
      <c r="S4" s="87" t="s">
        <v>183</v>
      </c>
      <c r="T4" s="87" t="s">
        <v>184</v>
      </c>
      <c r="U4" s="87" t="s">
        <v>185</v>
      </c>
      <c r="V4" s="87" t="s">
        <v>186</v>
      </c>
      <c r="W4" s="87" t="s">
        <v>187</v>
      </c>
      <c r="X4" s="87" t="s">
        <v>517</v>
      </c>
      <c r="Y4" s="87" t="s">
        <v>188</v>
      </c>
      <c r="Z4" s="87" t="s">
        <v>189</v>
      </c>
      <c r="AA4" s="87" t="s">
        <v>190</v>
      </c>
      <c r="AB4" s="87" t="s">
        <v>191</v>
      </c>
      <c r="AC4" s="87" t="s">
        <v>192</v>
      </c>
      <c r="AD4" s="87" t="s">
        <v>193</v>
      </c>
      <c r="AE4" s="87" t="s">
        <v>194</v>
      </c>
      <c r="AF4" s="87" t="s">
        <v>195</v>
      </c>
      <c r="AG4" s="87" t="s">
        <v>196</v>
      </c>
      <c r="AH4" s="87" t="s">
        <v>199</v>
      </c>
      <c r="AI4" s="87" t="s">
        <v>200</v>
      </c>
      <c r="AJ4" s="87" t="s">
        <v>201</v>
      </c>
      <c r="AK4" s="87" t="s">
        <v>202</v>
      </c>
      <c r="AL4" s="87" t="s">
        <v>203</v>
      </c>
      <c r="AM4" s="87" t="s">
        <v>205</v>
      </c>
      <c r="AN4" s="87" t="s">
        <v>206</v>
      </c>
      <c r="AO4" s="87" t="s">
        <v>207</v>
      </c>
      <c r="AP4" s="87" t="s">
        <v>208</v>
      </c>
      <c r="AQ4" s="87" t="s">
        <v>209</v>
      </c>
      <c r="AR4" s="87" t="s">
        <v>210</v>
      </c>
      <c r="AS4" s="87" t="s">
        <v>211</v>
      </c>
      <c r="AT4" s="87" t="s">
        <v>212</v>
      </c>
      <c r="AU4" s="87" t="s">
        <v>213</v>
      </c>
      <c r="AV4" s="87" t="s">
        <v>214</v>
      </c>
      <c r="AW4" s="87" t="s">
        <v>215</v>
      </c>
      <c r="AX4" s="87" t="s">
        <v>216</v>
      </c>
      <c r="AY4" s="87" t="s">
        <v>217</v>
      </c>
      <c r="BB4" s="84"/>
      <c r="BC4" s="84"/>
    </row>
    <row r="5" spans="1:55" ht="12.75">
      <c r="A5" s="32" t="s">
        <v>233</v>
      </c>
      <c r="BB5" s="30"/>
      <c r="BC5" s="30"/>
    </row>
    <row r="6" spans="1:55" ht="15" customHeight="1">
      <c r="A6" s="93" t="s">
        <v>234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BA6" s="30"/>
      <c r="BB6" s="30">
        <f>SUM(B6:AY6)</f>
        <v>0</v>
      </c>
      <c r="BC6" s="30"/>
    </row>
    <row r="7" spans="1:55" ht="8.25" customHeight="1">
      <c r="A7" s="32"/>
      <c r="F7" s="34"/>
      <c r="G7" s="34"/>
      <c r="O7" s="42"/>
      <c r="Q7" s="34"/>
      <c r="R7" s="34"/>
      <c r="S7" s="34"/>
      <c r="T7" s="34"/>
      <c r="U7" s="34"/>
      <c r="V7" s="34"/>
      <c r="Z7" s="31"/>
      <c r="AB7" s="34"/>
      <c r="AD7" s="42"/>
      <c r="AM7" s="34"/>
      <c r="AO7" s="34"/>
      <c r="AR7" s="34"/>
      <c r="AS7" s="34"/>
      <c r="AT7" s="34"/>
      <c r="AU7" s="34"/>
      <c r="AV7" s="34"/>
      <c r="AW7" s="34"/>
      <c r="BB7" s="30"/>
      <c r="BC7" s="30"/>
    </row>
    <row r="8" spans="1:55" ht="12.75">
      <c r="A8" s="32" t="s">
        <v>235</v>
      </c>
      <c r="F8" s="34"/>
      <c r="G8" s="34"/>
      <c r="O8" s="42"/>
      <c r="Q8" s="34"/>
      <c r="R8" s="34"/>
      <c r="S8" s="34"/>
      <c r="T8" s="34"/>
      <c r="U8" s="34"/>
      <c r="V8" s="34"/>
      <c r="Z8" s="31"/>
      <c r="AB8" s="34"/>
      <c r="AD8" s="42"/>
      <c r="AM8" s="34"/>
      <c r="AO8" s="34"/>
      <c r="AR8" s="34"/>
      <c r="AS8" s="34"/>
      <c r="AT8" s="34"/>
      <c r="AU8" s="34"/>
      <c r="AV8" s="34"/>
      <c r="AW8" s="34"/>
      <c r="BB8" s="30"/>
      <c r="BC8" s="30"/>
    </row>
    <row r="9" spans="1:55" ht="12.75">
      <c r="A9" s="33" t="s">
        <v>236</v>
      </c>
      <c r="B9" s="31">
        <v>137354</v>
      </c>
      <c r="C9" s="31">
        <v>305422</v>
      </c>
      <c r="D9" s="31">
        <v>213668</v>
      </c>
      <c r="E9" s="31">
        <v>83160</v>
      </c>
      <c r="F9" s="31">
        <v>154827.627</v>
      </c>
      <c r="G9" s="30">
        <v>78400</v>
      </c>
      <c r="H9" s="31">
        <v>0</v>
      </c>
      <c r="I9" s="31">
        <v>0</v>
      </c>
      <c r="J9" s="31">
        <v>0</v>
      </c>
      <c r="K9" s="31">
        <v>71893</v>
      </c>
      <c r="L9" s="31">
        <v>0</v>
      </c>
      <c r="M9" s="31">
        <v>78024</v>
      </c>
      <c r="N9" s="31">
        <v>28195</v>
      </c>
      <c r="O9" s="31">
        <v>0</v>
      </c>
      <c r="P9" s="31">
        <v>37641</v>
      </c>
      <c r="Q9" s="31">
        <v>0</v>
      </c>
      <c r="R9" s="31">
        <v>0</v>
      </c>
      <c r="S9" s="31">
        <v>15262</v>
      </c>
      <c r="T9" s="31">
        <v>25300</v>
      </c>
      <c r="U9" s="31">
        <v>0</v>
      </c>
      <c r="V9" s="31">
        <v>0</v>
      </c>
      <c r="W9" s="31">
        <v>18345</v>
      </c>
      <c r="X9" s="31">
        <v>0</v>
      </c>
      <c r="Y9" s="31">
        <v>0</v>
      </c>
      <c r="Z9" s="31">
        <v>0</v>
      </c>
      <c r="AA9" s="31">
        <v>0</v>
      </c>
      <c r="AB9" s="31">
        <v>11682</v>
      </c>
      <c r="AC9" s="31">
        <v>0</v>
      </c>
      <c r="AD9" s="31">
        <v>0</v>
      </c>
      <c r="AE9" s="31">
        <v>0</v>
      </c>
      <c r="AF9" s="31">
        <v>9343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BA9" s="31"/>
      <c r="BB9" s="30">
        <f aca="true" t="shared" si="0" ref="BB9:BB57">SUM(B9:AY9)</f>
        <v>1268516.6269999999</v>
      </c>
      <c r="BC9" s="30"/>
    </row>
    <row r="10" spans="1:55" ht="12.75">
      <c r="A10" s="33" t="s">
        <v>237</v>
      </c>
      <c r="B10" s="31">
        <v>0</v>
      </c>
      <c r="C10" s="31">
        <v>0</v>
      </c>
      <c r="D10" s="31">
        <v>40162</v>
      </c>
      <c r="E10" s="31">
        <v>0</v>
      </c>
      <c r="F10" s="31">
        <v>0</v>
      </c>
      <c r="G10" s="30">
        <v>0</v>
      </c>
      <c r="H10" s="31">
        <v>0</v>
      </c>
      <c r="I10" s="30">
        <v>0</v>
      </c>
      <c r="J10" s="30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BA10" s="31"/>
      <c r="BB10" s="30">
        <f t="shared" si="0"/>
        <v>40162</v>
      </c>
      <c r="BC10" s="30"/>
    </row>
    <row r="11" spans="1:55" ht="12.75">
      <c r="A11" s="33" t="s">
        <v>238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0">
        <v>153398</v>
      </c>
      <c r="H11" s="31">
        <v>0</v>
      </c>
      <c r="I11" s="30">
        <v>0</v>
      </c>
      <c r="J11" s="30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BA11" s="31"/>
      <c r="BB11" s="30">
        <f t="shared" si="0"/>
        <v>153398</v>
      </c>
      <c r="BC11" s="30"/>
    </row>
    <row r="12" spans="1:55" ht="12.75">
      <c r="A12" s="33" t="s">
        <v>239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0">
        <v>218662</v>
      </c>
      <c r="H12" s="31">
        <v>0</v>
      </c>
      <c r="I12" s="30">
        <v>0</v>
      </c>
      <c r="J12" s="30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4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BA12" s="31"/>
      <c r="BB12" s="30">
        <f t="shared" si="0"/>
        <v>218662</v>
      </c>
      <c r="BC12" s="30"/>
    </row>
    <row r="13" spans="1:55" ht="12.75">
      <c r="A13" s="33" t="s">
        <v>240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0">
        <v>0</v>
      </c>
      <c r="H13" s="31">
        <v>0</v>
      </c>
      <c r="I13" s="30">
        <v>0</v>
      </c>
      <c r="J13" s="30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40162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4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BA13" s="31"/>
      <c r="BB13" s="30">
        <f t="shared" si="0"/>
        <v>40162</v>
      </c>
      <c r="BC13" s="30"/>
    </row>
    <row r="14" spans="1:55" ht="12.75">
      <c r="A14" s="33" t="s">
        <v>241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0">
        <v>0</v>
      </c>
      <c r="H14" s="31">
        <v>0</v>
      </c>
      <c r="I14" s="30">
        <v>0</v>
      </c>
      <c r="J14" s="30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BA14" s="31"/>
      <c r="BB14" s="30">
        <f t="shared" si="0"/>
        <v>0</v>
      </c>
      <c r="BC14" s="30"/>
    </row>
    <row r="15" spans="1:55" ht="5.25" customHeight="1">
      <c r="A15" s="33"/>
      <c r="E15" s="34"/>
      <c r="F15" s="34"/>
      <c r="G15" s="34"/>
      <c r="O15" s="42"/>
      <c r="Q15" s="34"/>
      <c r="R15" s="34"/>
      <c r="S15" s="34"/>
      <c r="T15" s="34"/>
      <c r="U15" s="34"/>
      <c r="V15" s="34"/>
      <c r="Z15" s="31"/>
      <c r="AB15" s="34"/>
      <c r="AD15" s="42"/>
      <c r="AM15" s="34"/>
      <c r="AN15" s="34"/>
      <c r="AO15" s="34"/>
      <c r="AP15" s="34"/>
      <c r="AR15" s="34"/>
      <c r="AS15" s="34"/>
      <c r="AT15" s="34"/>
      <c r="AU15" s="34"/>
      <c r="AV15" s="34"/>
      <c r="AW15" s="34"/>
      <c r="BB15" s="30"/>
      <c r="BC15" s="30"/>
    </row>
    <row r="16" spans="1:55" ht="12.75">
      <c r="A16" s="36" t="s">
        <v>242</v>
      </c>
      <c r="E16" s="34"/>
      <c r="F16" s="34"/>
      <c r="G16" s="34"/>
      <c r="M16" s="41">
        <v>0</v>
      </c>
      <c r="O16" s="42"/>
      <c r="Q16" s="34"/>
      <c r="R16" s="34"/>
      <c r="S16" s="34"/>
      <c r="T16" s="34"/>
      <c r="U16" s="34"/>
      <c r="V16" s="34"/>
      <c r="Z16" s="31"/>
      <c r="AB16" s="34"/>
      <c r="AD16" s="42"/>
      <c r="AM16" s="34"/>
      <c r="AN16" s="34"/>
      <c r="AO16" s="34"/>
      <c r="AP16" s="34"/>
      <c r="AR16" s="34"/>
      <c r="AS16" s="34"/>
      <c r="AT16" s="34"/>
      <c r="AU16" s="34"/>
      <c r="AV16" s="34"/>
      <c r="AW16" s="34"/>
      <c r="BB16" s="30"/>
      <c r="BC16" s="30"/>
    </row>
    <row r="17" spans="1:55" ht="12.75">
      <c r="A17" s="33" t="s">
        <v>243</v>
      </c>
      <c r="B17" s="31">
        <v>45543058</v>
      </c>
      <c r="C17" s="31">
        <v>43968899</v>
      </c>
      <c r="D17" s="31">
        <v>22963549</v>
      </c>
      <c r="E17" s="31">
        <v>18694230</v>
      </c>
      <c r="F17" s="31">
        <v>13873583.893</v>
      </c>
      <c r="G17" s="30">
        <v>11783845</v>
      </c>
      <c r="H17" s="31">
        <v>7991568</v>
      </c>
      <c r="I17" s="31">
        <v>21329777</v>
      </c>
      <c r="J17" s="31">
        <v>11292877</v>
      </c>
      <c r="K17" s="31">
        <v>5490047</v>
      </c>
      <c r="L17" s="31">
        <v>12308295</v>
      </c>
      <c r="M17" s="31">
        <v>5512634</v>
      </c>
      <c r="N17" s="31">
        <v>9429649</v>
      </c>
      <c r="O17" s="31">
        <v>10877695</v>
      </c>
      <c r="P17" s="31">
        <v>6542964</v>
      </c>
      <c r="Q17" s="31">
        <v>4542311</v>
      </c>
      <c r="R17" s="31">
        <v>9115467</v>
      </c>
      <c r="S17" s="31">
        <v>4638024</v>
      </c>
      <c r="T17" s="31">
        <v>5132605</v>
      </c>
      <c r="U17" s="31">
        <v>8561055.469</v>
      </c>
      <c r="V17" s="31">
        <v>607702</v>
      </c>
      <c r="W17" s="31">
        <v>2339099</v>
      </c>
      <c r="X17" s="31">
        <v>5707053</v>
      </c>
      <c r="Y17" s="31">
        <v>7587811.525</v>
      </c>
      <c r="Z17" s="31">
        <v>3573866</v>
      </c>
      <c r="AA17" s="31">
        <v>1221334</v>
      </c>
      <c r="AB17" s="31">
        <v>3721835</v>
      </c>
      <c r="AC17" s="31">
        <v>5071806.146000001</v>
      </c>
      <c r="AD17" s="31">
        <v>2909041</v>
      </c>
      <c r="AE17" s="31">
        <v>788121</v>
      </c>
      <c r="AF17" s="31">
        <v>349031</v>
      </c>
      <c r="AG17" s="31">
        <v>1060885</v>
      </c>
      <c r="AH17" s="31">
        <v>1493986</v>
      </c>
      <c r="AI17" s="31">
        <v>1024527</v>
      </c>
      <c r="AJ17" s="31">
        <v>1430821</v>
      </c>
      <c r="AK17" s="31">
        <v>246470</v>
      </c>
      <c r="AL17" s="31">
        <v>29648.568</v>
      </c>
      <c r="AM17" s="31">
        <v>1184201</v>
      </c>
      <c r="AN17" s="31">
        <v>479135</v>
      </c>
      <c r="AO17" s="31">
        <v>590834</v>
      </c>
      <c r="AP17" s="31">
        <v>430953</v>
      </c>
      <c r="AQ17" s="30">
        <v>14579</v>
      </c>
      <c r="AR17" s="31">
        <v>254856</v>
      </c>
      <c r="AS17" s="31">
        <v>439540</v>
      </c>
      <c r="AT17" s="31">
        <v>0</v>
      </c>
      <c r="AU17" s="31">
        <v>126875</v>
      </c>
      <c r="AV17" s="31">
        <v>69368</v>
      </c>
      <c r="AW17" s="31">
        <v>0</v>
      </c>
      <c r="AX17" s="31">
        <v>10000</v>
      </c>
      <c r="AY17" s="31">
        <v>0</v>
      </c>
      <c r="BA17" s="31"/>
      <c r="BB17" s="30">
        <f t="shared" si="0"/>
        <v>322355511.601</v>
      </c>
      <c r="BC17" s="30"/>
    </row>
    <row r="18" spans="1:55" ht="12.75">
      <c r="A18" s="33" t="s">
        <v>244</v>
      </c>
      <c r="B18" s="31">
        <v>73335109</v>
      </c>
      <c r="C18" s="31">
        <v>52962261</v>
      </c>
      <c r="D18" s="31">
        <v>30654059</v>
      </c>
      <c r="E18" s="31">
        <v>32667602</v>
      </c>
      <c r="F18" s="31">
        <v>25428133.43</v>
      </c>
      <c r="G18" s="30">
        <v>17022359</v>
      </c>
      <c r="H18" s="31">
        <v>18373583</v>
      </c>
      <c r="I18" s="31">
        <v>2468975</v>
      </c>
      <c r="J18" s="31">
        <v>10993897</v>
      </c>
      <c r="K18" s="31">
        <v>10040092</v>
      </c>
      <c r="L18" s="31">
        <v>7501196</v>
      </c>
      <c r="M18" s="31">
        <v>10153080</v>
      </c>
      <c r="N18" s="31">
        <v>3607705</v>
      </c>
      <c r="O18" s="31">
        <v>2381879</v>
      </c>
      <c r="P18" s="31">
        <v>7473768</v>
      </c>
      <c r="Q18" s="31">
        <v>4489072</v>
      </c>
      <c r="R18" s="31">
        <v>2301128</v>
      </c>
      <c r="S18" s="31">
        <v>6522875</v>
      </c>
      <c r="T18" s="31">
        <v>6365882</v>
      </c>
      <c r="U18" s="31">
        <v>2463420.545</v>
      </c>
      <c r="V18" s="31">
        <v>588754</v>
      </c>
      <c r="W18" s="31">
        <v>6795522</v>
      </c>
      <c r="X18" s="31">
        <v>1851973</v>
      </c>
      <c r="Y18" s="31">
        <v>103549.267</v>
      </c>
      <c r="Z18" s="31">
        <v>2227638</v>
      </c>
      <c r="AA18" s="31">
        <v>5627469</v>
      </c>
      <c r="AB18" s="31">
        <v>1708221</v>
      </c>
      <c r="AC18" s="31">
        <v>0</v>
      </c>
      <c r="AD18" s="31">
        <v>330770</v>
      </c>
      <c r="AE18" s="31">
        <v>1808064</v>
      </c>
      <c r="AF18" s="31">
        <v>1109190</v>
      </c>
      <c r="AG18" s="31">
        <v>533897</v>
      </c>
      <c r="AH18" s="31">
        <v>696973</v>
      </c>
      <c r="AI18" s="31">
        <v>164794</v>
      </c>
      <c r="AJ18" s="31">
        <v>64467</v>
      </c>
      <c r="AK18" s="31">
        <v>1147258</v>
      </c>
      <c r="AL18" s="31">
        <v>855928.449</v>
      </c>
      <c r="AM18" s="31">
        <v>140384</v>
      </c>
      <c r="AN18" s="31">
        <v>549209</v>
      </c>
      <c r="AO18" s="31">
        <v>283514</v>
      </c>
      <c r="AP18" s="31">
        <v>232532</v>
      </c>
      <c r="AQ18" s="30">
        <v>256482</v>
      </c>
      <c r="AR18" s="31">
        <v>124561</v>
      </c>
      <c r="AS18" s="31">
        <v>48885</v>
      </c>
      <c r="AT18" s="31">
        <v>377522.41</v>
      </c>
      <c r="AU18" s="31">
        <v>181325</v>
      </c>
      <c r="AV18" s="31">
        <v>85414</v>
      </c>
      <c r="AW18" s="31">
        <v>17443</v>
      </c>
      <c r="AX18" s="31">
        <v>2449.996</v>
      </c>
      <c r="AY18" s="31">
        <v>8004</v>
      </c>
      <c r="BA18" s="31"/>
      <c r="BB18" s="30">
        <f t="shared" si="0"/>
        <v>355128269.09700006</v>
      </c>
      <c r="BC18" s="30"/>
    </row>
    <row r="19" spans="1:55" ht="12.75">
      <c r="A19" s="30" t="s">
        <v>245</v>
      </c>
      <c r="B19" s="31">
        <v>26002305</v>
      </c>
      <c r="C19" s="31">
        <v>22267764</v>
      </c>
      <c r="D19" s="31">
        <v>8695935</v>
      </c>
      <c r="E19" s="31">
        <v>4042288</v>
      </c>
      <c r="F19" s="31">
        <v>11978531.074</v>
      </c>
      <c r="G19" s="30">
        <v>1256280</v>
      </c>
      <c r="H19" s="31">
        <v>1182953</v>
      </c>
      <c r="I19" s="31">
        <v>1526886</v>
      </c>
      <c r="J19" s="31">
        <v>211436</v>
      </c>
      <c r="K19" s="31">
        <v>6730922</v>
      </c>
      <c r="L19" s="31">
        <v>2318845</v>
      </c>
      <c r="M19" s="31">
        <v>3972953</v>
      </c>
      <c r="N19" s="31">
        <v>1309867</v>
      </c>
      <c r="O19" s="31">
        <v>2281921</v>
      </c>
      <c r="P19" s="31">
        <v>641951</v>
      </c>
      <c r="Q19" s="31">
        <v>3861762</v>
      </c>
      <c r="R19" s="31">
        <v>1364356</v>
      </c>
      <c r="S19" s="31">
        <v>1657168</v>
      </c>
      <c r="T19" s="31">
        <v>1080</v>
      </c>
      <c r="U19" s="31">
        <v>755072.77</v>
      </c>
      <c r="V19" s="31">
        <f>2341342</f>
        <v>2341342</v>
      </c>
      <c r="W19" s="31">
        <v>10000</v>
      </c>
      <c r="X19" s="31">
        <v>1356310</v>
      </c>
      <c r="Y19" s="31">
        <v>0</v>
      </c>
      <c r="Z19" s="31">
        <v>1247009</v>
      </c>
      <c r="AA19" s="31">
        <v>466858</v>
      </c>
      <c r="AB19" s="31">
        <v>643088</v>
      </c>
      <c r="AC19" s="31">
        <v>0</v>
      </c>
      <c r="AD19" s="31">
        <v>0</v>
      </c>
      <c r="AE19" s="31">
        <v>131310</v>
      </c>
      <c r="AF19" s="31">
        <v>1277</v>
      </c>
      <c r="AG19" s="31">
        <v>59400</v>
      </c>
      <c r="AH19" s="31">
        <v>47922</v>
      </c>
      <c r="AI19" s="31">
        <v>385250</v>
      </c>
      <c r="AJ19" s="31">
        <v>81403</v>
      </c>
      <c r="AK19" s="31">
        <v>0</v>
      </c>
      <c r="AL19" s="31">
        <v>90445.789</v>
      </c>
      <c r="AM19" s="31">
        <v>34163</v>
      </c>
      <c r="AN19" s="31">
        <v>130441</v>
      </c>
      <c r="AO19" s="31">
        <v>0</v>
      </c>
      <c r="AP19" s="31">
        <v>333</v>
      </c>
      <c r="AQ19" s="30">
        <v>33958</v>
      </c>
      <c r="AR19" s="31">
        <v>101849</v>
      </c>
      <c r="AS19" s="31">
        <v>2815</v>
      </c>
      <c r="AT19" s="31">
        <v>33474.849</v>
      </c>
      <c r="AU19" s="31">
        <v>9806</v>
      </c>
      <c r="AV19" s="31">
        <v>6254</v>
      </c>
      <c r="AW19" s="31">
        <v>37384</v>
      </c>
      <c r="AX19" s="31">
        <v>4105.817</v>
      </c>
      <c r="AY19" s="31"/>
      <c r="BA19" s="31"/>
      <c r="BB19" s="30">
        <f t="shared" si="0"/>
        <v>109316474.29900001</v>
      </c>
      <c r="BC19" s="30"/>
    </row>
    <row r="20" spans="1:55" ht="12.75">
      <c r="A20" s="30" t="s">
        <v>246</v>
      </c>
      <c r="B20" s="31">
        <v>0</v>
      </c>
      <c r="C20" s="31">
        <v>0</v>
      </c>
      <c r="D20" s="31">
        <v>71840</v>
      </c>
      <c r="E20" s="31">
        <v>0</v>
      </c>
      <c r="F20" s="31">
        <v>0</v>
      </c>
      <c r="G20" s="30">
        <v>36223</v>
      </c>
      <c r="H20" s="31">
        <v>0</v>
      </c>
      <c r="I20" s="31">
        <v>0</v>
      </c>
      <c r="J20" s="31">
        <v>0</v>
      </c>
      <c r="K20" s="31">
        <v>61449</v>
      </c>
      <c r="L20" s="31">
        <v>0</v>
      </c>
      <c r="M20" s="31">
        <v>40467</v>
      </c>
      <c r="N20" s="31">
        <v>0</v>
      </c>
      <c r="O20" s="31">
        <v>0</v>
      </c>
      <c r="P20" s="31">
        <v>23250</v>
      </c>
      <c r="Q20" s="31">
        <v>0</v>
      </c>
      <c r="R20" s="31">
        <v>2533</v>
      </c>
      <c r="S20" s="31">
        <v>0</v>
      </c>
      <c r="T20" s="31">
        <v>0</v>
      </c>
      <c r="U20" s="31">
        <v>701755.913</v>
      </c>
      <c r="V20" s="31">
        <v>0</v>
      </c>
      <c r="W20" s="31">
        <v>0</v>
      </c>
      <c r="X20" s="31">
        <v>0</v>
      </c>
      <c r="Y20" s="31">
        <v>0</v>
      </c>
      <c r="Z20" s="30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5708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BA20" s="31"/>
      <c r="BB20" s="30">
        <f t="shared" si="0"/>
        <v>943225.913</v>
      </c>
      <c r="BC20" s="30"/>
    </row>
    <row r="21" spans="1:55" ht="12.75">
      <c r="A21" s="33" t="s">
        <v>247</v>
      </c>
      <c r="B21" s="31">
        <v>0</v>
      </c>
      <c r="C21" s="31">
        <v>0</v>
      </c>
      <c r="D21" s="31">
        <v>0</v>
      </c>
      <c r="E21" s="31">
        <v>15156</v>
      </c>
      <c r="F21" s="31">
        <v>0</v>
      </c>
      <c r="G21" s="30">
        <v>1123007</v>
      </c>
      <c r="H21" s="31">
        <v>0</v>
      </c>
      <c r="I21" s="31">
        <v>634567</v>
      </c>
      <c r="J21" s="31">
        <v>2882989</v>
      </c>
      <c r="K21" s="31">
        <v>0</v>
      </c>
      <c r="L21" s="31">
        <v>0</v>
      </c>
      <c r="M21" s="31">
        <v>182895</v>
      </c>
      <c r="N21" s="31">
        <v>0</v>
      </c>
      <c r="O21" s="31">
        <v>0</v>
      </c>
      <c r="P21" s="31">
        <v>0</v>
      </c>
      <c r="Q21" s="31">
        <v>1711432</v>
      </c>
      <c r="R21" s="31">
        <v>517012</v>
      </c>
      <c r="S21" s="31">
        <v>0</v>
      </c>
      <c r="T21" s="31">
        <v>1032639</v>
      </c>
      <c r="U21" s="31">
        <v>122728.426</v>
      </c>
      <c r="V21" s="31">
        <v>0</v>
      </c>
      <c r="W21" s="31">
        <v>283515</v>
      </c>
      <c r="X21" s="31">
        <v>0</v>
      </c>
      <c r="Y21" s="31">
        <v>0</v>
      </c>
      <c r="Z21" s="30">
        <v>274769</v>
      </c>
      <c r="AA21" s="31">
        <v>0</v>
      </c>
      <c r="AB21" s="31">
        <v>133972</v>
      </c>
      <c r="AC21" s="31">
        <v>356154.68</v>
      </c>
      <c r="AD21" s="31">
        <v>0</v>
      </c>
      <c r="AE21" s="31">
        <v>0</v>
      </c>
      <c r="AF21" s="31">
        <v>0</v>
      </c>
      <c r="AG21" s="31">
        <v>586117</v>
      </c>
      <c r="AH21" s="31">
        <v>0</v>
      </c>
      <c r="AI21" s="31">
        <v>0</v>
      </c>
      <c r="AJ21" s="31">
        <v>0</v>
      </c>
      <c r="AK21" s="31">
        <v>21849</v>
      </c>
      <c r="AL21" s="31">
        <v>437461.956</v>
      </c>
      <c r="AM21" s="31">
        <v>0</v>
      </c>
      <c r="AN21" s="31">
        <v>0</v>
      </c>
      <c r="AO21" s="31">
        <v>0</v>
      </c>
      <c r="AP21" s="31">
        <v>0</v>
      </c>
      <c r="AQ21" s="30">
        <v>291308</v>
      </c>
      <c r="AR21" s="31">
        <v>0</v>
      </c>
      <c r="AS21" s="31">
        <v>0</v>
      </c>
      <c r="AT21" s="31">
        <v>0</v>
      </c>
      <c r="AU21" s="31">
        <v>40607</v>
      </c>
      <c r="AV21" s="31">
        <v>31411</v>
      </c>
      <c r="AW21" s="31">
        <v>0</v>
      </c>
      <c r="AX21" s="31">
        <v>0</v>
      </c>
      <c r="AY21" s="31">
        <v>0</v>
      </c>
      <c r="BA21" s="31"/>
      <c r="BB21" s="30">
        <f t="shared" si="0"/>
        <v>10679590.061999999</v>
      </c>
      <c r="BC21" s="30"/>
    </row>
    <row r="22" spans="1:55" ht="12.75">
      <c r="A22" s="30" t="s">
        <v>242</v>
      </c>
      <c r="B22" s="31">
        <v>212727</v>
      </c>
      <c r="C22" s="31">
        <v>0</v>
      </c>
      <c r="D22" s="31">
        <v>38000</v>
      </c>
      <c r="E22" s="31">
        <v>1433</v>
      </c>
      <c r="F22" s="31">
        <v>23416.28</v>
      </c>
      <c r="G22" s="30">
        <v>306503</v>
      </c>
      <c r="H22" s="31">
        <v>0</v>
      </c>
      <c r="I22" s="31">
        <v>0</v>
      </c>
      <c r="J22" s="31">
        <v>0</v>
      </c>
      <c r="K22" s="31">
        <v>67954</v>
      </c>
      <c r="L22" s="31">
        <v>0</v>
      </c>
      <c r="M22" s="31">
        <v>57466</v>
      </c>
      <c r="N22" s="31">
        <v>801881</v>
      </c>
      <c r="O22" s="31">
        <v>1336</v>
      </c>
      <c r="P22" s="31">
        <v>0</v>
      </c>
      <c r="Q22" s="31">
        <v>0</v>
      </c>
      <c r="R22" s="31">
        <v>2851</v>
      </c>
      <c r="S22" s="31">
        <v>0</v>
      </c>
      <c r="T22" s="31">
        <v>160360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0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BA22" s="31"/>
      <c r="BB22" s="30">
        <f t="shared" si="0"/>
        <v>1673927.28</v>
      </c>
      <c r="BC22" s="30"/>
    </row>
    <row r="23" spans="1:55" ht="12.75">
      <c r="A23" s="285" t="s">
        <v>248</v>
      </c>
      <c r="B23" s="30">
        <f>SUM(B17:B22)</f>
        <v>145093199</v>
      </c>
      <c r="C23" s="30">
        <f aca="true" t="shared" si="1" ref="C23:AY23">SUM(C17:C22)</f>
        <v>119198924</v>
      </c>
      <c r="D23" s="30">
        <f t="shared" si="1"/>
        <v>62423383</v>
      </c>
      <c r="E23" s="30">
        <f t="shared" si="1"/>
        <v>55420709</v>
      </c>
      <c r="F23" s="30">
        <f t="shared" si="1"/>
        <v>51303664.677</v>
      </c>
      <c r="G23" s="30">
        <f t="shared" si="1"/>
        <v>31528217</v>
      </c>
      <c r="H23" s="30">
        <f t="shared" si="1"/>
        <v>27548104</v>
      </c>
      <c r="I23" s="30">
        <f t="shared" si="1"/>
        <v>25960205</v>
      </c>
      <c r="J23" s="30">
        <f t="shared" si="1"/>
        <v>25381199</v>
      </c>
      <c r="K23" s="30">
        <f t="shared" si="1"/>
        <v>22390464</v>
      </c>
      <c r="L23" s="30">
        <f t="shared" si="1"/>
        <v>22128336</v>
      </c>
      <c r="M23" s="30">
        <f t="shared" si="1"/>
        <v>19919495</v>
      </c>
      <c r="N23" s="30">
        <f t="shared" si="1"/>
        <v>15149102</v>
      </c>
      <c r="O23" s="30">
        <f t="shared" si="1"/>
        <v>15542831</v>
      </c>
      <c r="P23" s="30">
        <f t="shared" si="1"/>
        <v>14681933</v>
      </c>
      <c r="Q23" s="30">
        <f t="shared" si="1"/>
        <v>14604577</v>
      </c>
      <c r="R23" s="30">
        <f t="shared" si="1"/>
        <v>13303347</v>
      </c>
      <c r="S23" s="30">
        <f t="shared" si="1"/>
        <v>12818067</v>
      </c>
      <c r="T23" s="30">
        <f t="shared" si="1"/>
        <v>12692566</v>
      </c>
      <c r="U23" s="30">
        <f t="shared" si="1"/>
        <v>12604033.123000002</v>
      </c>
      <c r="V23" s="30">
        <f t="shared" si="1"/>
        <v>3537798</v>
      </c>
      <c r="W23" s="30">
        <f t="shared" si="1"/>
        <v>9428136</v>
      </c>
      <c r="X23" s="30">
        <f t="shared" si="1"/>
        <v>8915336</v>
      </c>
      <c r="Y23" s="30">
        <f t="shared" si="1"/>
        <v>7691360.792</v>
      </c>
      <c r="Z23" s="30">
        <f t="shared" si="1"/>
        <v>7323282</v>
      </c>
      <c r="AA23" s="30">
        <f t="shared" si="1"/>
        <v>7315661</v>
      </c>
      <c r="AB23" s="30">
        <f t="shared" si="1"/>
        <v>6207116</v>
      </c>
      <c r="AC23" s="30">
        <f t="shared" si="1"/>
        <v>5427960.826</v>
      </c>
      <c r="AD23" s="30">
        <f t="shared" si="1"/>
        <v>3239811</v>
      </c>
      <c r="AE23" s="30">
        <f t="shared" si="1"/>
        <v>2727495</v>
      </c>
      <c r="AF23" s="30">
        <f t="shared" si="1"/>
        <v>1459498</v>
      </c>
      <c r="AG23" s="30">
        <f t="shared" si="1"/>
        <v>2240299</v>
      </c>
      <c r="AH23" s="30">
        <f t="shared" si="1"/>
        <v>2244589</v>
      </c>
      <c r="AI23" s="30">
        <f t="shared" si="1"/>
        <v>1574571</v>
      </c>
      <c r="AJ23" s="30">
        <f t="shared" si="1"/>
        <v>1576691</v>
      </c>
      <c r="AK23" s="30">
        <f t="shared" si="1"/>
        <v>1415577</v>
      </c>
      <c r="AL23" s="30">
        <f t="shared" si="1"/>
        <v>1413484.762</v>
      </c>
      <c r="AM23" s="30">
        <f t="shared" si="1"/>
        <v>1358748</v>
      </c>
      <c r="AN23" s="30">
        <f t="shared" si="1"/>
        <v>1158785</v>
      </c>
      <c r="AO23" s="30">
        <f t="shared" si="1"/>
        <v>874348</v>
      </c>
      <c r="AP23" s="30">
        <f t="shared" si="1"/>
        <v>663818</v>
      </c>
      <c r="AQ23" s="30">
        <f t="shared" si="1"/>
        <v>596327</v>
      </c>
      <c r="AR23" s="30">
        <f t="shared" si="1"/>
        <v>481266</v>
      </c>
      <c r="AS23" s="30">
        <f t="shared" si="1"/>
        <v>491240</v>
      </c>
      <c r="AT23" s="30">
        <f t="shared" si="1"/>
        <v>410997.25899999996</v>
      </c>
      <c r="AU23" s="30">
        <f t="shared" si="1"/>
        <v>358613</v>
      </c>
      <c r="AV23" s="30">
        <f t="shared" si="1"/>
        <v>192447</v>
      </c>
      <c r="AW23" s="30">
        <f t="shared" si="1"/>
        <v>54827</v>
      </c>
      <c r="AX23" s="30">
        <f t="shared" si="1"/>
        <v>16555.813</v>
      </c>
      <c r="AY23" s="30">
        <f t="shared" si="1"/>
        <v>8004</v>
      </c>
      <c r="BA23" s="30"/>
      <c r="BB23" s="30">
        <f t="shared" si="0"/>
        <v>800096998.252</v>
      </c>
      <c r="BC23" s="30"/>
    </row>
    <row r="24" spans="1:55" ht="12.75">
      <c r="A24" s="285" t="s">
        <v>249</v>
      </c>
      <c r="B24" s="30">
        <f>+SUM(B9:B14)+B23</f>
        <v>145230553</v>
      </c>
      <c r="C24" s="30">
        <f aca="true" t="shared" si="2" ref="C24:AY24">+SUM(C9:C14)+C23</f>
        <v>119504346</v>
      </c>
      <c r="D24" s="30">
        <f t="shared" si="2"/>
        <v>62677213</v>
      </c>
      <c r="E24" s="30">
        <f t="shared" si="2"/>
        <v>55503869</v>
      </c>
      <c r="F24" s="30">
        <f t="shared" si="2"/>
        <v>51458492.304</v>
      </c>
      <c r="G24" s="30">
        <f t="shared" si="2"/>
        <v>31978677</v>
      </c>
      <c r="H24" s="30">
        <f t="shared" si="2"/>
        <v>27548104</v>
      </c>
      <c r="I24" s="30">
        <f t="shared" si="2"/>
        <v>25960205</v>
      </c>
      <c r="J24" s="30">
        <f t="shared" si="2"/>
        <v>25381199</v>
      </c>
      <c r="K24" s="30">
        <f t="shared" si="2"/>
        <v>22462357</v>
      </c>
      <c r="L24" s="30">
        <f t="shared" si="2"/>
        <v>22128336</v>
      </c>
      <c r="M24" s="30">
        <f t="shared" si="2"/>
        <v>19997519</v>
      </c>
      <c r="N24" s="30">
        <f t="shared" si="2"/>
        <v>15177297</v>
      </c>
      <c r="O24" s="30">
        <f t="shared" si="2"/>
        <v>15542831</v>
      </c>
      <c r="P24" s="30">
        <f t="shared" si="2"/>
        <v>14719574</v>
      </c>
      <c r="Q24" s="30">
        <f t="shared" si="2"/>
        <v>14604577</v>
      </c>
      <c r="R24" s="30">
        <f t="shared" si="2"/>
        <v>13303347</v>
      </c>
      <c r="S24" s="30">
        <f t="shared" si="2"/>
        <v>12833329</v>
      </c>
      <c r="T24" s="30">
        <f t="shared" si="2"/>
        <v>12758028</v>
      </c>
      <c r="U24" s="30">
        <f t="shared" si="2"/>
        <v>12604033.123000002</v>
      </c>
      <c r="V24" s="30">
        <f t="shared" si="2"/>
        <v>3537798</v>
      </c>
      <c r="W24" s="30">
        <f t="shared" si="2"/>
        <v>9446481</v>
      </c>
      <c r="X24" s="30">
        <f t="shared" si="2"/>
        <v>8915336</v>
      </c>
      <c r="Y24" s="30">
        <f t="shared" si="2"/>
        <v>7691360.792</v>
      </c>
      <c r="Z24" s="30">
        <f t="shared" si="2"/>
        <v>7323282</v>
      </c>
      <c r="AA24" s="30">
        <f t="shared" si="2"/>
        <v>7315661</v>
      </c>
      <c r="AB24" s="30">
        <f t="shared" si="2"/>
        <v>6218798</v>
      </c>
      <c r="AC24" s="30">
        <f t="shared" si="2"/>
        <v>5427960.826</v>
      </c>
      <c r="AD24" s="30">
        <f t="shared" si="2"/>
        <v>3239811</v>
      </c>
      <c r="AE24" s="30">
        <f t="shared" si="2"/>
        <v>2727495</v>
      </c>
      <c r="AF24" s="30">
        <f t="shared" si="2"/>
        <v>1468841</v>
      </c>
      <c r="AG24" s="30">
        <f t="shared" si="2"/>
        <v>2240299</v>
      </c>
      <c r="AH24" s="30">
        <f t="shared" si="2"/>
        <v>2244589</v>
      </c>
      <c r="AI24" s="30">
        <f t="shared" si="2"/>
        <v>1574571</v>
      </c>
      <c r="AJ24" s="30">
        <f t="shared" si="2"/>
        <v>1576691</v>
      </c>
      <c r="AK24" s="30">
        <f t="shared" si="2"/>
        <v>1415577</v>
      </c>
      <c r="AL24" s="30">
        <f t="shared" si="2"/>
        <v>1413484.762</v>
      </c>
      <c r="AM24" s="30">
        <f t="shared" si="2"/>
        <v>1358748</v>
      </c>
      <c r="AN24" s="30">
        <f t="shared" si="2"/>
        <v>1158785</v>
      </c>
      <c r="AO24" s="30">
        <f t="shared" si="2"/>
        <v>874348</v>
      </c>
      <c r="AP24" s="30">
        <f t="shared" si="2"/>
        <v>663818</v>
      </c>
      <c r="AQ24" s="30">
        <f t="shared" si="2"/>
        <v>596327</v>
      </c>
      <c r="AR24" s="30">
        <f t="shared" si="2"/>
        <v>481266</v>
      </c>
      <c r="AS24" s="30">
        <f t="shared" si="2"/>
        <v>491240</v>
      </c>
      <c r="AT24" s="30">
        <f t="shared" si="2"/>
        <v>410997.25899999996</v>
      </c>
      <c r="AU24" s="30">
        <f t="shared" si="2"/>
        <v>358613</v>
      </c>
      <c r="AV24" s="30">
        <f t="shared" si="2"/>
        <v>192447</v>
      </c>
      <c r="AW24" s="30">
        <f t="shared" si="2"/>
        <v>54827</v>
      </c>
      <c r="AX24" s="30">
        <f t="shared" si="2"/>
        <v>16555.813</v>
      </c>
      <c r="AY24" s="30">
        <f t="shared" si="2"/>
        <v>8004</v>
      </c>
      <c r="BA24" s="30"/>
      <c r="BB24" s="30">
        <f t="shared" si="0"/>
        <v>801817898.879</v>
      </c>
      <c r="BC24" s="30"/>
    </row>
    <row r="25" spans="1:55" ht="12" customHeight="1">
      <c r="A25" s="94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BA25" s="30"/>
      <c r="BB25" s="30"/>
      <c r="BC25" s="30"/>
    </row>
    <row r="26" spans="1:55" ht="12.75">
      <c r="A26" s="32" t="s">
        <v>250</v>
      </c>
      <c r="E26" s="34"/>
      <c r="F26" s="34"/>
      <c r="G26" s="34"/>
      <c r="O26" s="42"/>
      <c r="Q26" s="34"/>
      <c r="R26" s="34"/>
      <c r="S26" s="34"/>
      <c r="T26" s="34"/>
      <c r="U26" s="34"/>
      <c r="V26" s="34"/>
      <c r="X26" s="34"/>
      <c r="Z26" s="31"/>
      <c r="AB26" s="34"/>
      <c r="AD26" s="42"/>
      <c r="AG26" s="34"/>
      <c r="AH26" s="34"/>
      <c r="AI26" s="34"/>
      <c r="AM26" s="34"/>
      <c r="AN26" s="34"/>
      <c r="AO26" s="34"/>
      <c r="AP26" s="34"/>
      <c r="AR26" s="34"/>
      <c r="AS26" s="34"/>
      <c r="AT26" s="34"/>
      <c r="AU26" s="34"/>
      <c r="AV26" s="34"/>
      <c r="AW26" s="34"/>
      <c r="BB26" s="30"/>
      <c r="BC26" s="30"/>
    </row>
    <row r="27" spans="1:55" ht="12.75">
      <c r="A27" s="33" t="s">
        <v>251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1109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BA27" s="31"/>
      <c r="BB27" s="30">
        <f t="shared" si="0"/>
        <v>1109</v>
      </c>
      <c r="BC27" s="30"/>
    </row>
    <row r="28" spans="1:55" ht="12.75">
      <c r="A28" s="33" t="s">
        <v>252</v>
      </c>
      <c r="B28" s="31">
        <v>470980</v>
      </c>
      <c r="C28" s="31">
        <v>1077000</v>
      </c>
      <c r="D28" s="31">
        <v>405000</v>
      </c>
      <c r="E28" s="31">
        <v>133666</v>
      </c>
      <c r="F28" s="31">
        <v>322081.012</v>
      </c>
      <c r="G28" s="30">
        <v>239271</v>
      </c>
      <c r="H28" s="31">
        <v>399934</v>
      </c>
      <c r="I28" s="31">
        <v>119414</v>
      </c>
      <c r="J28" s="31">
        <v>0</v>
      </c>
      <c r="K28" s="31">
        <v>229100</v>
      </c>
      <c r="L28" s="31">
        <v>0</v>
      </c>
      <c r="M28" s="31">
        <v>70803</v>
      </c>
      <c r="N28" s="31">
        <v>108515</v>
      </c>
      <c r="O28" s="31">
        <v>0</v>
      </c>
      <c r="P28" s="31">
        <v>392128</v>
      </c>
      <c r="Q28" s="31">
        <v>135112</v>
      </c>
      <c r="R28" s="31">
        <v>190404</v>
      </c>
      <c r="S28" s="31">
        <v>100226</v>
      </c>
      <c r="T28" s="31">
        <v>77500</v>
      </c>
      <c r="U28" s="31">
        <v>34965.924</v>
      </c>
      <c r="V28" s="31">
        <v>6437848</v>
      </c>
      <c r="W28" s="31">
        <v>92104</v>
      </c>
      <c r="X28" s="31">
        <v>48075</v>
      </c>
      <c r="Y28" s="31">
        <v>15123.184999999998</v>
      </c>
      <c r="Z28" s="31">
        <v>128447</v>
      </c>
      <c r="AA28" s="31">
        <v>0</v>
      </c>
      <c r="AB28" s="31">
        <v>41000</v>
      </c>
      <c r="AC28" s="31">
        <v>2468.963</v>
      </c>
      <c r="AD28" s="31">
        <v>0</v>
      </c>
      <c r="AE28" s="31">
        <v>0</v>
      </c>
      <c r="AF28" s="31">
        <v>11924</v>
      </c>
      <c r="AG28" s="31">
        <v>17969</v>
      </c>
      <c r="AH28" s="31">
        <v>0</v>
      </c>
      <c r="AI28" s="31">
        <v>0</v>
      </c>
      <c r="AJ28" s="31">
        <v>0</v>
      </c>
      <c r="AK28" s="31">
        <v>1005</v>
      </c>
      <c r="AL28" s="31">
        <v>0</v>
      </c>
      <c r="AM28" s="31">
        <v>0</v>
      </c>
      <c r="AN28" s="31">
        <v>9425</v>
      </c>
      <c r="AO28" s="31">
        <v>8724</v>
      </c>
      <c r="AP28" s="31">
        <v>0</v>
      </c>
      <c r="AQ28" s="31">
        <v>0</v>
      </c>
      <c r="AR28" s="31">
        <v>252</v>
      </c>
      <c r="AS28" s="31">
        <v>0</v>
      </c>
      <c r="AT28" s="31">
        <v>0</v>
      </c>
      <c r="AU28" s="31">
        <v>1782</v>
      </c>
      <c r="AV28" s="31">
        <v>669</v>
      </c>
      <c r="AW28" s="31">
        <v>0</v>
      </c>
      <c r="AX28" s="31">
        <v>0</v>
      </c>
      <c r="AY28" s="31">
        <v>0</v>
      </c>
      <c r="BA28" s="31"/>
      <c r="BB28" s="30">
        <f t="shared" si="0"/>
        <v>11322916.084</v>
      </c>
      <c r="BC28" s="30"/>
    </row>
    <row r="29" spans="1:55" ht="12.75">
      <c r="A29" s="33" t="s">
        <v>253</v>
      </c>
      <c r="B29" s="31">
        <v>423914</v>
      </c>
      <c r="C29" s="31">
        <v>356677</v>
      </c>
      <c r="D29" s="31">
        <v>245567</v>
      </c>
      <c r="E29" s="31">
        <v>247000</v>
      </c>
      <c r="F29" s="31">
        <v>76840.492</v>
      </c>
      <c r="G29" s="30">
        <v>4597</v>
      </c>
      <c r="H29" s="31">
        <v>837</v>
      </c>
      <c r="I29" s="31">
        <v>5318</v>
      </c>
      <c r="J29" s="31">
        <v>2184</v>
      </c>
      <c r="K29" s="31">
        <v>12415</v>
      </c>
      <c r="L29" s="31">
        <v>27577</v>
      </c>
      <c r="M29" s="31">
        <v>67277</v>
      </c>
      <c r="N29" s="31">
        <v>330</v>
      </c>
      <c r="O29" s="31">
        <v>19061</v>
      </c>
      <c r="P29" s="31">
        <v>12387</v>
      </c>
      <c r="Q29" s="31">
        <v>316</v>
      </c>
      <c r="R29" s="31">
        <v>112217</v>
      </c>
      <c r="S29" s="31">
        <v>42633</v>
      </c>
      <c r="T29" s="31">
        <v>3428</v>
      </c>
      <c r="U29" s="31">
        <v>37284.144</v>
      </c>
      <c r="V29" s="31">
        <v>0</v>
      </c>
      <c r="W29" s="31">
        <v>10498</v>
      </c>
      <c r="X29" s="31">
        <v>17645</v>
      </c>
      <c r="Y29" s="31">
        <v>70578.648</v>
      </c>
      <c r="Z29" s="31">
        <v>9774</v>
      </c>
      <c r="AA29" s="31">
        <v>0</v>
      </c>
      <c r="AB29" s="31">
        <v>0</v>
      </c>
      <c r="AC29" s="31">
        <v>7658.633000000001</v>
      </c>
      <c r="AD29" s="31">
        <v>2897</v>
      </c>
      <c r="AE29" s="31">
        <v>1385</v>
      </c>
      <c r="AF29" s="31">
        <v>1598</v>
      </c>
      <c r="AG29" s="31">
        <v>800</v>
      </c>
      <c r="AH29" s="31">
        <v>998</v>
      </c>
      <c r="AI29" s="31">
        <v>1493</v>
      </c>
      <c r="AJ29" s="31">
        <v>26496</v>
      </c>
      <c r="AK29" s="31">
        <v>2802</v>
      </c>
      <c r="AL29" s="31">
        <v>0</v>
      </c>
      <c r="AM29" s="31">
        <v>4204</v>
      </c>
      <c r="AN29" s="31">
        <v>0</v>
      </c>
      <c r="AO29" s="31">
        <v>0</v>
      </c>
      <c r="AP29" s="31">
        <v>572</v>
      </c>
      <c r="AQ29" s="31">
        <v>303</v>
      </c>
      <c r="AR29" s="31">
        <v>195</v>
      </c>
      <c r="AS29" s="31">
        <v>581</v>
      </c>
      <c r="AT29" s="31">
        <v>0</v>
      </c>
      <c r="AU29" s="31"/>
      <c r="AV29" s="31">
        <v>180</v>
      </c>
      <c r="AW29" s="31">
        <v>1</v>
      </c>
      <c r="AX29" s="31">
        <v>0</v>
      </c>
      <c r="AY29" s="31">
        <v>0</v>
      </c>
      <c r="BA29" s="31"/>
      <c r="BB29" s="30">
        <f t="shared" si="0"/>
        <v>1858518.9170000001</v>
      </c>
      <c r="BC29" s="30"/>
    </row>
    <row r="30" spans="1:55" ht="12.75">
      <c r="A30" s="285" t="s">
        <v>254</v>
      </c>
      <c r="B30" s="30">
        <f>SUM(B27:B29)</f>
        <v>894894</v>
      </c>
      <c r="C30" s="30">
        <f aca="true" t="shared" si="3" ref="C30:AY30">SUM(C27:C29)</f>
        <v>1433677</v>
      </c>
      <c r="D30" s="30">
        <f t="shared" si="3"/>
        <v>650567</v>
      </c>
      <c r="E30" s="30">
        <f t="shared" si="3"/>
        <v>380666</v>
      </c>
      <c r="F30" s="30">
        <f t="shared" si="3"/>
        <v>398921.50399999996</v>
      </c>
      <c r="G30" s="30">
        <f t="shared" si="3"/>
        <v>243868</v>
      </c>
      <c r="H30" s="30">
        <f t="shared" si="3"/>
        <v>400771</v>
      </c>
      <c r="I30" s="30">
        <f t="shared" si="3"/>
        <v>124732</v>
      </c>
      <c r="J30" s="30">
        <f t="shared" si="3"/>
        <v>2184</v>
      </c>
      <c r="K30" s="30">
        <f t="shared" si="3"/>
        <v>241515</v>
      </c>
      <c r="L30" s="30">
        <f t="shared" si="3"/>
        <v>27577</v>
      </c>
      <c r="M30" s="30">
        <f t="shared" si="3"/>
        <v>138080</v>
      </c>
      <c r="N30" s="30">
        <f t="shared" si="3"/>
        <v>108845</v>
      </c>
      <c r="O30" s="30">
        <f t="shared" si="3"/>
        <v>19061</v>
      </c>
      <c r="P30" s="30">
        <f t="shared" si="3"/>
        <v>404515</v>
      </c>
      <c r="Q30" s="30">
        <f t="shared" si="3"/>
        <v>135428</v>
      </c>
      <c r="R30" s="30">
        <f t="shared" si="3"/>
        <v>302621</v>
      </c>
      <c r="S30" s="30">
        <f t="shared" si="3"/>
        <v>142859</v>
      </c>
      <c r="T30" s="30">
        <f t="shared" si="3"/>
        <v>80928</v>
      </c>
      <c r="U30" s="30">
        <f t="shared" si="3"/>
        <v>72250.068</v>
      </c>
      <c r="V30" s="30">
        <f t="shared" si="3"/>
        <v>6437848</v>
      </c>
      <c r="W30" s="30">
        <f t="shared" si="3"/>
        <v>102602</v>
      </c>
      <c r="X30" s="30">
        <f t="shared" si="3"/>
        <v>65720</v>
      </c>
      <c r="Y30" s="30">
        <f t="shared" si="3"/>
        <v>85701.833</v>
      </c>
      <c r="Z30" s="30">
        <f t="shared" si="3"/>
        <v>138221</v>
      </c>
      <c r="AA30" s="30">
        <f t="shared" si="3"/>
        <v>0</v>
      </c>
      <c r="AB30" s="30">
        <f t="shared" si="3"/>
        <v>41000</v>
      </c>
      <c r="AC30" s="30">
        <f t="shared" si="3"/>
        <v>10127.596000000001</v>
      </c>
      <c r="AD30" s="30">
        <f t="shared" si="3"/>
        <v>2897</v>
      </c>
      <c r="AE30" s="30">
        <f t="shared" si="3"/>
        <v>1385</v>
      </c>
      <c r="AF30" s="30">
        <f t="shared" si="3"/>
        <v>13522</v>
      </c>
      <c r="AG30" s="30">
        <f t="shared" si="3"/>
        <v>18769</v>
      </c>
      <c r="AH30" s="30">
        <f t="shared" si="3"/>
        <v>998</v>
      </c>
      <c r="AI30" s="30">
        <f t="shared" si="3"/>
        <v>1493</v>
      </c>
      <c r="AJ30" s="30">
        <f t="shared" si="3"/>
        <v>26496</v>
      </c>
      <c r="AK30" s="30">
        <f t="shared" si="3"/>
        <v>3807</v>
      </c>
      <c r="AL30" s="30">
        <f t="shared" si="3"/>
        <v>0</v>
      </c>
      <c r="AM30" s="30">
        <f t="shared" si="3"/>
        <v>4204</v>
      </c>
      <c r="AN30" s="30">
        <f t="shared" si="3"/>
        <v>9425</v>
      </c>
      <c r="AO30" s="30">
        <f t="shared" si="3"/>
        <v>9833</v>
      </c>
      <c r="AP30" s="30">
        <f t="shared" si="3"/>
        <v>572</v>
      </c>
      <c r="AQ30" s="30">
        <f t="shared" si="3"/>
        <v>303</v>
      </c>
      <c r="AR30" s="30">
        <f t="shared" si="3"/>
        <v>447</v>
      </c>
      <c r="AS30" s="30">
        <f t="shared" si="3"/>
        <v>581</v>
      </c>
      <c r="AT30" s="30">
        <f t="shared" si="3"/>
        <v>0</v>
      </c>
      <c r="AU30" s="30">
        <f t="shared" si="3"/>
        <v>1782</v>
      </c>
      <c r="AV30" s="30">
        <f t="shared" si="3"/>
        <v>849</v>
      </c>
      <c r="AW30" s="30">
        <f t="shared" si="3"/>
        <v>1</v>
      </c>
      <c r="AX30" s="30">
        <f t="shared" si="3"/>
        <v>0</v>
      </c>
      <c r="AY30" s="30">
        <f t="shared" si="3"/>
        <v>0</v>
      </c>
      <c r="BA30" s="30"/>
      <c r="BB30" s="30">
        <f t="shared" si="0"/>
        <v>13182544.001000002</v>
      </c>
      <c r="BC30" s="30"/>
    </row>
    <row r="31" spans="1:55" ht="5.25" customHeight="1">
      <c r="A31" s="30"/>
      <c r="E31" s="34"/>
      <c r="F31" s="34"/>
      <c r="G31" s="30"/>
      <c r="I31" s="31"/>
      <c r="O31" s="42"/>
      <c r="Q31" s="34"/>
      <c r="R31" s="34"/>
      <c r="S31" s="34"/>
      <c r="T31" s="34"/>
      <c r="U31" s="34"/>
      <c r="V31" s="34"/>
      <c r="X31" s="34"/>
      <c r="Z31" s="31"/>
      <c r="AB31" s="34"/>
      <c r="AD31" s="42"/>
      <c r="AG31" s="34"/>
      <c r="AH31" s="34"/>
      <c r="AI31" s="34"/>
      <c r="AM31" s="34"/>
      <c r="AN31" s="34"/>
      <c r="AO31" s="34"/>
      <c r="AP31" s="34"/>
      <c r="AR31" s="34"/>
      <c r="AS31" s="34"/>
      <c r="AT31" s="34"/>
      <c r="AU31" s="34"/>
      <c r="AV31" s="34"/>
      <c r="AW31" s="34"/>
      <c r="BB31" s="30"/>
      <c r="BC31" s="30"/>
    </row>
    <row r="32" spans="1:55" ht="12.75">
      <c r="A32" s="32" t="s">
        <v>255</v>
      </c>
      <c r="E32" s="34"/>
      <c r="F32" s="34"/>
      <c r="G32" s="34"/>
      <c r="O32" s="42"/>
      <c r="Q32" s="34"/>
      <c r="R32" s="34"/>
      <c r="S32" s="34"/>
      <c r="T32" s="34"/>
      <c r="U32" s="34"/>
      <c r="V32" s="34"/>
      <c r="X32" s="34"/>
      <c r="Z32" s="31"/>
      <c r="AB32" s="34"/>
      <c r="AD32" s="42"/>
      <c r="AG32" s="34"/>
      <c r="AH32" s="34"/>
      <c r="AI32" s="34"/>
      <c r="AM32" s="34"/>
      <c r="AN32" s="34"/>
      <c r="AO32" s="34"/>
      <c r="AP32" s="34"/>
      <c r="AR32" s="34"/>
      <c r="AS32" s="34"/>
      <c r="AT32" s="34"/>
      <c r="AU32" s="34"/>
      <c r="AV32" s="34"/>
      <c r="AW32" s="34"/>
      <c r="BB32" s="30"/>
      <c r="BC32" s="30"/>
    </row>
    <row r="33" spans="1:55" ht="12.75">
      <c r="A33" s="30" t="s">
        <v>256</v>
      </c>
      <c r="B33" s="31">
        <v>17695</v>
      </c>
      <c r="C33" s="31">
        <v>72787</v>
      </c>
      <c r="D33" s="31">
        <v>21890</v>
      </c>
      <c r="E33" s="31">
        <v>5076</v>
      </c>
      <c r="F33" s="31">
        <v>14411.977</v>
      </c>
      <c r="G33" s="30">
        <v>6992</v>
      </c>
      <c r="H33" s="31">
        <v>8749</v>
      </c>
      <c r="I33" s="31">
        <v>0</v>
      </c>
      <c r="J33" s="31">
        <v>0</v>
      </c>
      <c r="K33" s="31">
        <v>18368</v>
      </c>
      <c r="L33" s="31">
        <v>1539</v>
      </c>
      <c r="M33" s="31">
        <v>18104</v>
      </c>
      <c r="N33" s="31">
        <v>0</v>
      </c>
      <c r="O33" s="31">
        <v>0</v>
      </c>
      <c r="P33" s="31">
        <v>4134</v>
      </c>
      <c r="Q33" s="31">
        <v>10035</v>
      </c>
      <c r="R33" s="31">
        <v>1502</v>
      </c>
      <c r="S33" s="31">
        <v>1966</v>
      </c>
      <c r="T33" s="31">
        <v>2689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0">
        <v>6395</v>
      </c>
      <c r="AA33" s="31">
        <v>0</v>
      </c>
      <c r="AB33" s="31">
        <v>1271</v>
      </c>
      <c r="AC33" s="31">
        <v>0</v>
      </c>
      <c r="AD33" s="31">
        <v>0</v>
      </c>
      <c r="AE33" s="31">
        <v>0</v>
      </c>
      <c r="AF33" s="31">
        <v>1400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BA33" s="31"/>
      <c r="BB33" s="30">
        <f t="shared" si="0"/>
        <v>215003.977</v>
      </c>
      <c r="BC33" s="30"/>
    </row>
    <row r="34" spans="1:55" ht="12.75">
      <c r="A34" s="30" t="s">
        <v>257</v>
      </c>
      <c r="B34" s="31">
        <v>600855</v>
      </c>
      <c r="C34" s="31">
        <v>2913755</v>
      </c>
      <c r="D34" s="31">
        <v>725474</v>
      </c>
      <c r="E34" s="31">
        <v>382736</v>
      </c>
      <c r="F34" s="31">
        <v>481809.732</v>
      </c>
      <c r="G34" s="30">
        <v>642530</v>
      </c>
      <c r="H34" s="31">
        <v>375519</v>
      </c>
      <c r="I34" s="31">
        <v>128441</v>
      </c>
      <c r="J34" s="31">
        <v>451246</v>
      </c>
      <c r="K34" s="31">
        <v>186172</v>
      </c>
      <c r="L34" s="31">
        <v>302639</v>
      </c>
      <c r="M34" s="31">
        <v>184968</v>
      </c>
      <c r="N34" s="31">
        <v>376071</v>
      </c>
      <c r="O34" s="31">
        <v>4412</v>
      </c>
      <c r="P34" s="31">
        <v>121099</v>
      </c>
      <c r="Q34" s="31">
        <v>2691</v>
      </c>
      <c r="R34" s="31">
        <v>53657</v>
      </c>
      <c r="S34" s="31">
        <v>0</v>
      </c>
      <c r="T34" s="31">
        <v>86769</v>
      </c>
      <c r="U34" s="31">
        <v>38889.148</v>
      </c>
      <c r="V34" s="31">
        <v>141630</v>
      </c>
      <c r="W34" s="31">
        <v>36732</v>
      </c>
      <c r="X34" s="31">
        <v>11405</v>
      </c>
      <c r="Y34" s="31">
        <v>42064.741</v>
      </c>
      <c r="Z34" s="31">
        <v>168834</v>
      </c>
      <c r="AA34" s="31">
        <v>187511</v>
      </c>
      <c r="AB34" s="31">
        <v>104616</v>
      </c>
      <c r="AC34" s="31">
        <v>59099.381</v>
      </c>
      <c r="AD34" s="31">
        <v>5267</v>
      </c>
      <c r="AE34" s="31">
        <v>1608</v>
      </c>
      <c r="AF34" s="31">
        <v>1197255</v>
      </c>
      <c r="AG34" s="31">
        <v>17636</v>
      </c>
      <c r="AH34" s="31">
        <v>2098</v>
      </c>
      <c r="AI34" s="31">
        <v>29810</v>
      </c>
      <c r="AJ34" s="31">
        <v>7073</v>
      </c>
      <c r="AK34" s="31">
        <f>7570+49212</f>
        <v>56782</v>
      </c>
      <c r="AL34" s="31">
        <v>5686.381</v>
      </c>
      <c r="AM34" s="31">
        <v>2943</v>
      </c>
      <c r="AN34" s="31">
        <v>16575</v>
      </c>
      <c r="AO34" s="31">
        <v>2069</v>
      </c>
      <c r="AP34" s="31">
        <v>1948</v>
      </c>
      <c r="AQ34" s="31">
        <v>366</v>
      </c>
      <c r="AR34" s="31">
        <v>71295</v>
      </c>
      <c r="AS34" s="31">
        <v>3765</v>
      </c>
      <c r="AT34" s="31">
        <v>41731.014</v>
      </c>
      <c r="AU34" s="31">
        <v>8414</v>
      </c>
      <c r="AV34" s="31">
        <v>6571</v>
      </c>
      <c r="AW34" s="31">
        <v>42942</v>
      </c>
      <c r="AX34" s="31">
        <v>42644.184</v>
      </c>
      <c r="AY34" s="31">
        <v>374</v>
      </c>
      <c r="BA34" s="31"/>
      <c r="BB34" s="30">
        <f t="shared" si="0"/>
        <v>10376477.580999998</v>
      </c>
      <c r="BC34" s="30"/>
    </row>
    <row r="35" spans="1:55" ht="12.75">
      <c r="A35" s="30" t="s">
        <v>258</v>
      </c>
      <c r="B35" s="31">
        <v>0</v>
      </c>
      <c r="C35" s="31">
        <v>0</v>
      </c>
      <c r="D35" s="31">
        <v>190412</v>
      </c>
      <c r="E35" s="31">
        <v>0</v>
      </c>
      <c r="F35" s="31">
        <v>0</v>
      </c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38537</v>
      </c>
      <c r="M35" s="31">
        <v>0</v>
      </c>
      <c r="N35" s="31">
        <v>15596</v>
      </c>
      <c r="O35" s="31">
        <v>0</v>
      </c>
      <c r="P35" s="31"/>
      <c r="Q35" s="31"/>
      <c r="R35" s="31">
        <v>68304</v>
      </c>
      <c r="S35" s="31">
        <v>0</v>
      </c>
      <c r="T35" s="31"/>
      <c r="U35" s="31">
        <v>0</v>
      </c>
      <c r="V35" s="31">
        <v>0</v>
      </c>
      <c r="W35" s="31">
        <v>0</v>
      </c>
      <c r="X35" s="31">
        <v>51126</v>
      </c>
      <c r="Y35" s="31">
        <v>0</v>
      </c>
      <c r="Z35" s="31">
        <v>0</v>
      </c>
      <c r="AA35" s="31">
        <v>0</v>
      </c>
      <c r="AB35" s="31">
        <v>43814</v>
      </c>
      <c r="AC35" s="31"/>
      <c r="AD35" s="31">
        <v>0</v>
      </c>
      <c r="AE35" s="31">
        <v>0</v>
      </c>
      <c r="AF35" s="31">
        <v>0</v>
      </c>
      <c r="AG35" s="31">
        <v>2467</v>
      </c>
      <c r="AH35" s="31">
        <v>5124</v>
      </c>
      <c r="AI35" s="31">
        <v>0</v>
      </c>
      <c r="AJ35" s="31">
        <v>803</v>
      </c>
      <c r="AK35" s="31">
        <v>0</v>
      </c>
      <c r="AL35" s="31">
        <v>0</v>
      </c>
      <c r="AM35" s="31">
        <v>5533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BA35" s="31"/>
      <c r="BB35" s="30">
        <f t="shared" si="0"/>
        <v>421716</v>
      </c>
      <c r="BC35" s="30"/>
    </row>
    <row r="36" spans="1:55" ht="12.75">
      <c r="A36" s="285" t="s">
        <v>259</v>
      </c>
      <c r="B36" s="30">
        <f>SUM(B33:B35)</f>
        <v>618550</v>
      </c>
      <c r="C36" s="30">
        <f aca="true" t="shared" si="4" ref="C36:AY36">SUM(C33:C35)</f>
        <v>2986542</v>
      </c>
      <c r="D36" s="30">
        <f t="shared" si="4"/>
        <v>937776</v>
      </c>
      <c r="E36" s="30">
        <f t="shared" si="4"/>
        <v>387812</v>
      </c>
      <c r="F36" s="30">
        <f t="shared" si="4"/>
        <v>496221.70900000003</v>
      </c>
      <c r="G36" s="30">
        <f t="shared" si="4"/>
        <v>649522</v>
      </c>
      <c r="H36" s="30">
        <f t="shared" si="4"/>
        <v>384268</v>
      </c>
      <c r="I36" s="30">
        <f t="shared" si="4"/>
        <v>128441</v>
      </c>
      <c r="J36" s="30">
        <f t="shared" si="4"/>
        <v>451246</v>
      </c>
      <c r="K36" s="30">
        <f t="shared" si="4"/>
        <v>204540</v>
      </c>
      <c r="L36" s="30">
        <f t="shared" si="4"/>
        <v>342715</v>
      </c>
      <c r="M36" s="30">
        <f t="shared" si="4"/>
        <v>203072</v>
      </c>
      <c r="N36" s="30">
        <f t="shared" si="4"/>
        <v>391667</v>
      </c>
      <c r="O36" s="30">
        <f t="shared" si="4"/>
        <v>4412</v>
      </c>
      <c r="P36" s="30">
        <f t="shared" si="4"/>
        <v>125233</v>
      </c>
      <c r="Q36" s="30">
        <f t="shared" si="4"/>
        <v>12726</v>
      </c>
      <c r="R36" s="30">
        <f t="shared" si="4"/>
        <v>123463</v>
      </c>
      <c r="S36" s="30">
        <f t="shared" si="4"/>
        <v>1966</v>
      </c>
      <c r="T36" s="30">
        <f t="shared" si="4"/>
        <v>89458</v>
      </c>
      <c r="U36" s="30">
        <f t="shared" si="4"/>
        <v>38889.148</v>
      </c>
      <c r="V36" s="30">
        <f t="shared" si="4"/>
        <v>141630</v>
      </c>
      <c r="W36" s="30">
        <f t="shared" si="4"/>
        <v>36732</v>
      </c>
      <c r="X36" s="30">
        <f t="shared" si="4"/>
        <v>62531</v>
      </c>
      <c r="Y36" s="30">
        <f t="shared" si="4"/>
        <v>42064.741</v>
      </c>
      <c r="Z36" s="30">
        <f t="shared" si="4"/>
        <v>175229</v>
      </c>
      <c r="AA36" s="30">
        <f t="shared" si="4"/>
        <v>187511</v>
      </c>
      <c r="AB36" s="30">
        <f t="shared" si="4"/>
        <v>149701</v>
      </c>
      <c r="AC36" s="30">
        <f t="shared" si="4"/>
        <v>59099.381</v>
      </c>
      <c r="AD36" s="30">
        <f t="shared" si="4"/>
        <v>5267</v>
      </c>
      <c r="AE36" s="30">
        <f t="shared" si="4"/>
        <v>1608</v>
      </c>
      <c r="AF36" s="30">
        <f t="shared" si="4"/>
        <v>1198655</v>
      </c>
      <c r="AG36" s="30">
        <f t="shared" si="4"/>
        <v>20103</v>
      </c>
      <c r="AH36" s="30">
        <f t="shared" si="4"/>
        <v>7222</v>
      </c>
      <c r="AI36" s="30">
        <f t="shared" si="4"/>
        <v>29810</v>
      </c>
      <c r="AJ36" s="30">
        <f t="shared" si="4"/>
        <v>7876</v>
      </c>
      <c r="AK36" s="30">
        <f t="shared" si="4"/>
        <v>56782</v>
      </c>
      <c r="AL36" s="30">
        <f t="shared" si="4"/>
        <v>5686.381</v>
      </c>
      <c r="AM36" s="30">
        <f t="shared" si="4"/>
        <v>8476</v>
      </c>
      <c r="AN36" s="30">
        <f t="shared" si="4"/>
        <v>16575</v>
      </c>
      <c r="AO36" s="30">
        <f t="shared" si="4"/>
        <v>2069</v>
      </c>
      <c r="AP36" s="30">
        <f t="shared" si="4"/>
        <v>1948</v>
      </c>
      <c r="AQ36" s="30">
        <f t="shared" si="4"/>
        <v>366</v>
      </c>
      <c r="AR36" s="30">
        <f t="shared" si="4"/>
        <v>71295</v>
      </c>
      <c r="AS36" s="30">
        <f t="shared" si="4"/>
        <v>3765</v>
      </c>
      <c r="AT36" s="30">
        <f t="shared" si="4"/>
        <v>41731.014</v>
      </c>
      <c r="AU36" s="30">
        <f t="shared" si="4"/>
        <v>8414</v>
      </c>
      <c r="AV36" s="30">
        <f t="shared" si="4"/>
        <v>6571</v>
      </c>
      <c r="AW36" s="30">
        <f t="shared" si="4"/>
        <v>42942</v>
      </c>
      <c r="AX36" s="30">
        <f t="shared" si="4"/>
        <v>42644.184</v>
      </c>
      <c r="AY36" s="30">
        <f t="shared" si="4"/>
        <v>374</v>
      </c>
      <c r="BA36" s="30"/>
      <c r="BB36" s="30">
        <f t="shared" si="0"/>
        <v>11013197.557999998</v>
      </c>
      <c r="BC36" s="30"/>
    </row>
    <row r="37" spans="1:55" ht="6" customHeight="1">
      <c r="A37" s="32"/>
      <c r="E37" s="34"/>
      <c r="F37" s="34"/>
      <c r="G37" s="34"/>
      <c r="O37" s="42"/>
      <c r="Q37" s="34"/>
      <c r="R37" s="34"/>
      <c r="S37" s="34"/>
      <c r="T37" s="34"/>
      <c r="U37" s="34"/>
      <c r="V37" s="34"/>
      <c r="X37" s="34"/>
      <c r="Z37" s="30"/>
      <c r="AB37" s="34"/>
      <c r="AD37" s="42"/>
      <c r="AG37" s="34"/>
      <c r="AH37" s="34"/>
      <c r="AI37" s="34"/>
      <c r="AM37" s="34"/>
      <c r="AN37" s="34"/>
      <c r="AO37" s="34"/>
      <c r="AP37" s="34"/>
      <c r="AR37" s="34"/>
      <c r="AS37" s="34"/>
      <c r="AT37" s="34"/>
      <c r="AU37" s="34"/>
      <c r="AV37" s="34"/>
      <c r="AW37" s="34"/>
      <c r="BB37" s="30"/>
      <c r="BC37" s="30"/>
    </row>
    <row r="38" spans="1:55" ht="12.75">
      <c r="A38" s="30" t="s">
        <v>260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0">
        <v>0</v>
      </c>
      <c r="H38" s="31">
        <v>0</v>
      </c>
      <c r="I38" s="30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0">
        <v>0</v>
      </c>
      <c r="X38" s="31">
        <v>0</v>
      </c>
      <c r="Y38" s="31">
        <v>0</v>
      </c>
      <c r="Z38" s="30">
        <v>0</v>
      </c>
      <c r="AA38" s="31">
        <v>0</v>
      </c>
      <c r="AB38" s="31">
        <v>0</v>
      </c>
      <c r="AC38" s="31"/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BA38" s="31"/>
      <c r="BB38" s="30">
        <f t="shared" si="0"/>
        <v>0</v>
      </c>
      <c r="BC38" s="30"/>
    </row>
    <row r="39" spans="1:55" ht="5.25" customHeight="1">
      <c r="A39" s="30"/>
      <c r="E39" s="34"/>
      <c r="F39" s="34"/>
      <c r="G39" s="34"/>
      <c r="O39" s="42"/>
      <c r="Q39" s="34"/>
      <c r="R39" s="34"/>
      <c r="S39" s="34"/>
      <c r="T39" s="34"/>
      <c r="U39" s="34"/>
      <c r="V39" s="34"/>
      <c r="X39" s="34"/>
      <c r="Z39" s="34"/>
      <c r="AB39" s="34"/>
      <c r="AD39" s="42"/>
      <c r="AG39" s="34"/>
      <c r="AH39" s="34"/>
      <c r="AI39" s="34"/>
      <c r="AM39" s="34"/>
      <c r="AN39" s="34"/>
      <c r="AO39" s="34"/>
      <c r="AP39" s="34"/>
      <c r="AR39" s="34"/>
      <c r="AS39" s="34"/>
      <c r="AT39" s="34"/>
      <c r="AU39" s="34"/>
      <c r="AV39" s="34"/>
      <c r="AW39" s="34"/>
      <c r="BB39" s="30"/>
      <c r="BC39" s="30"/>
    </row>
    <row r="40" spans="1:55" ht="15.75" customHeight="1">
      <c r="A40" s="286" t="s">
        <v>261</v>
      </c>
      <c r="B40" s="30">
        <f>+B24+B30+B36+B38</f>
        <v>146743997</v>
      </c>
      <c r="C40" s="30">
        <f aca="true" t="shared" si="5" ref="C40:AY40">+C24+C30+C36+C38</f>
        <v>123924565</v>
      </c>
      <c r="D40" s="30">
        <f t="shared" si="5"/>
        <v>64265556</v>
      </c>
      <c r="E40" s="30">
        <f t="shared" si="5"/>
        <v>56272347</v>
      </c>
      <c r="F40" s="30">
        <f t="shared" si="5"/>
        <v>52353635.517</v>
      </c>
      <c r="G40" s="30">
        <f t="shared" si="5"/>
        <v>32872067</v>
      </c>
      <c r="H40" s="30">
        <f t="shared" si="5"/>
        <v>28333143</v>
      </c>
      <c r="I40" s="30">
        <f t="shared" si="5"/>
        <v>26213378</v>
      </c>
      <c r="J40" s="30">
        <f t="shared" si="5"/>
        <v>25834629</v>
      </c>
      <c r="K40" s="30">
        <f t="shared" si="5"/>
        <v>22908412</v>
      </c>
      <c r="L40" s="30">
        <f t="shared" si="5"/>
        <v>22498628</v>
      </c>
      <c r="M40" s="30">
        <f t="shared" si="5"/>
        <v>20338671</v>
      </c>
      <c r="N40" s="30">
        <f t="shared" si="5"/>
        <v>15677809</v>
      </c>
      <c r="O40" s="30">
        <f t="shared" si="5"/>
        <v>15566304</v>
      </c>
      <c r="P40" s="30">
        <f t="shared" si="5"/>
        <v>15249322</v>
      </c>
      <c r="Q40" s="30">
        <f t="shared" si="5"/>
        <v>14752731</v>
      </c>
      <c r="R40" s="30">
        <f t="shared" si="5"/>
        <v>13729431</v>
      </c>
      <c r="S40" s="30">
        <f t="shared" si="5"/>
        <v>12978154</v>
      </c>
      <c r="T40" s="30">
        <f t="shared" si="5"/>
        <v>12928414</v>
      </c>
      <c r="U40" s="30">
        <f t="shared" si="5"/>
        <v>12715172.339000002</v>
      </c>
      <c r="V40" s="30">
        <f t="shared" si="5"/>
        <v>10117276</v>
      </c>
      <c r="W40" s="30">
        <f t="shared" si="5"/>
        <v>9585815</v>
      </c>
      <c r="X40" s="30">
        <f t="shared" si="5"/>
        <v>9043587</v>
      </c>
      <c r="Y40" s="30">
        <f t="shared" si="5"/>
        <v>7819127.366</v>
      </c>
      <c r="Z40" s="30">
        <f t="shared" si="5"/>
        <v>7636732</v>
      </c>
      <c r="AA40" s="30">
        <f t="shared" si="5"/>
        <v>7503172</v>
      </c>
      <c r="AB40" s="30">
        <f t="shared" si="5"/>
        <v>6409499</v>
      </c>
      <c r="AC40" s="30">
        <f t="shared" si="5"/>
        <v>5497187.803</v>
      </c>
      <c r="AD40" s="30">
        <f t="shared" si="5"/>
        <v>3247975</v>
      </c>
      <c r="AE40" s="30">
        <f t="shared" si="5"/>
        <v>2730488</v>
      </c>
      <c r="AF40" s="30">
        <f t="shared" si="5"/>
        <v>2681018</v>
      </c>
      <c r="AG40" s="30">
        <f t="shared" si="5"/>
        <v>2279171</v>
      </c>
      <c r="AH40" s="30">
        <f t="shared" si="5"/>
        <v>2252809</v>
      </c>
      <c r="AI40" s="30">
        <f t="shared" si="5"/>
        <v>1605874</v>
      </c>
      <c r="AJ40" s="30">
        <f t="shared" si="5"/>
        <v>1611063</v>
      </c>
      <c r="AK40" s="30">
        <f t="shared" si="5"/>
        <v>1476166</v>
      </c>
      <c r="AL40" s="30">
        <f t="shared" si="5"/>
        <v>1419171.1430000002</v>
      </c>
      <c r="AM40" s="30">
        <f t="shared" si="5"/>
        <v>1371428</v>
      </c>
      <c r="AN40" s="30">
        <f t="shared" si="5"/>
        <v>1184785</v>
      </c>
      <c r="AO40" s="30">
        <f t="shared" si="5"/>
        <v>886250</v>
      </c>
      <c r="AP40" s="30">
        <f t="shared" si="5"/>
        <v>666338</v>
      </c>
      <c r="AQ40" s="30">
        <f t="shared" si="5"/>
        <v>596996</v>
      </c>
      <c r="AR40" s="30">
        <f t="shared" si="5"/>
        <v>553008</v>
      </c>
      <c r="AS40" s="30">
        <f t="shared" si="5"/>
        <v>495586</v>
      </c>
      <c r="AT40" s="30">
        <f t="shared" si="5"/>
        <v>452728.273</v>
      </c>
      <c r="AU40" s="30">
        <f t="shared" si="5"/>
        <v>368809</v>
      </c>
      <c r="AV40" s="30">
        <f t="shared" si="5"/>
        <v>199867</v>
      </c>
      <c r="AW40" s="30">
        <f t="shared" si="5"/>
        <v>97770</v>
      </c>
      <c r="AX40" s="30">
        <f t="shared" si="5"/>
        <v>59199.997</v>
      </c>
      <c r="AY40" s="30">
        <f t="shared" si="5"/>
        <v>8378</v>
      </c>
      <c r="BA40" s="30"/>
      <c r="BB40" s="30">
        <f t="shared" si="0"/>
        <v>826013640.438</v>
      </c>
      <c r="BC40" s="30"/>
    </row>
    <row r="41" spans="1:55" ht="5.25" customHeight="1">
      <c r="A41" s="33"/>
      <c r="E41" s="34"/>
      <c r="F41" s="34"/>
      <c r="G41" s="34"/>
      <c r="O41" s="42"/>
      <c r="Q41" s="34"/>
      <c r="R41" s="34"/>
      <c r="S41" s="34"/>
      <c r="T41" s="34"/>
      <c r="U41" s="34"/>
      <c r="V41" s="34"/>
      <c r="X41" s="34"/>
      <c r="Z41" s="30"/>
      <c r="AB41" s="34"/>
      <c r="AD41" s="42"/>
      <c r="AG41" s="34"/>
      <c r="AH41" s="34"/>
      <c r="AI41" s="34"/>
      <c r="AM41" s="34"/>
      <c r="AN41" s="34"/>
      <c r="AO41" s="34"/>
      <c r="AP41" s="34"/>
      <c r="AR41" s="34"/>
      <c r="AS41" s="34"/>
      <c r="AT41" s="34"/>
      <c r="AU41" s="34"/>
      <c r="AV41" s="34"/>
      <c r="AW41" s="34"/>
      <c r="BB41" s="30"/>
      <c r="BC41" s="30"/>
    </row>
    <row r="42" spans="1:55" ht="12.75">
      <c r="A42" s="32" t="s">
        <v>262</v>
      </c>
      <c r="O42" s="42"/>
      <c r="Q42" s="34"/>
      <c r="R42" s="34" t="s">
        <v>59</v>
      </c>
      <c r="S42" s="34"/>
      <c r="T42" s="34"/>
      <c r="U42" s="34"/>
      <c r="V42" s="34"/>
      <c r="X42" s="34"/>
      <c r="Z42" s="34"/>
      <c r="AB42" s="34"/>
      <c r="AD42" s="42"/>
      <c r="AG42" s="34"/>
      <c r="AH42" s="34"/>
      <c r="AI42" s="34"/>
      <c r="AM42" s="34"/>
      <c r="AN42" s="34"/>
      <c r="AO42" s="34"/>
      <c r="AP42" s="34"/>
      <c r="AR42" s="34"/>
      <c r="AS42" s="34"/>
      <c r="AT42" s="34"/>
      <c r="AU42" s="34"/>
      <c r="AV42" s="34"/>
      <c r="AW42" s="34"/>
      <c r="BB42" s="30"/>
      <c r="BC42" s="30"/>
    </row>
    <row r="43" spans="1:55" ht="5.25" customHeight="1">
      <c r="A43" s="33"/>
      <c r="E43" s="34"/>
      <c r="F43" s="34"/>
      <c r="G43" s="34"/>
      <c r="O43" s="42"/>
      <c r="Q43" s="34"/>
      <c r="R43" s="34"/>
      <c r="S43" s="34"/>
      <c r="T43" s="34"/>
      <c r="U43" s="34"/>
      <c r="V43" s="34"/>
      <c r="X43" s="34"/>
      <c r="Z43" s="34"/>
      <c r="AB43" s="34"/>
      <c r="AD43" s="42"/>
      <c r="AG43" s="34"/>
      <c r="AH43" s="34"/>
      <c r="AI43" s="34"/>
      <c r="AM43" s="34"/>
      <c r="AN43" s="34"/>
      <c r="AO43" s="34"/>
      <c r="AP43" s="34"/>
      <c r="AR43" s="34"/>
      <c r="AS43" s="34"/>
      <c r="AT43" s="34"/>
      <c r="AU43" s="34"/>
      <c r="AV43" s="34"/>
      <c r="AW43" s="34"/>
      <c r="BB43" s="30"/>
      <c r="BC43" s="30"/>
    </row>
    <row r="44" spans="1:55" ht="12.75">
      <c r="A44" s="33" t="s">
        <v>263</v>
      </c>
      <c r="B44" s="30">
        <v>31326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2867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BA44" s="30"/>
      <c r="BB44" s="30">
        <f t="shared" si="0"/>
        <v>34193</v>
      </c>
      <c r="BC44" s="30"/>
    </row>
    <row r="45" spans="1:55" ht="6" customHeight="1">
      <c r="A45" s="33"/>
      <c r="E45" s="34"/>
      <c r="F45" s="34"/>
      <c r="G45" s="34"/>
      <c r="O45" s="42"/>
      <c r="Q45" s="34"/>
      <c r="R45" s="34"/>
      <c r="S45" s="34"/>
      <c r="T45" s="34"/>
      <c r="U45" s="34"/>
      <c r="V45" s="34"/>
      <c r="X45" s="34"/>
      <c r="Z45" s="31"/>
      <c r="AB45" s="34"/>
      <c r="AD45" s="42"/>
      <c r="AG45" s="34"/>
      <c r="AH45" s="34"/>
      <c r="AI45" s="34"/>
      <c r="AM45" s="34"/>
      <c r="AN45" s="34"/>
      <c r="AO45" s="34"/>
      <c r="AP45" s="34"/>
      <c r="AR45" s="34"/>
      <c r="AS45" s="34"/>
      <c r="AT45" s="34"/>
      <c r="AU45" s="34"/>
      <c r="AV45" s="34"/>
      <c r="AW45" s="34"/>
      <c r="BB45" s="30"/>
      <c r="BC45" s="30"/>
    </row>
    <row r="46" spans="1:55" ht="12.75">
      <c r="A46" s="33" t="s">
        <v>264</v>
      </c>
      <c r="E46" s="34"/>
      <c r="F46" s="34"/>
      <c r="G46" s="34"/>
      <c r="O46" s="42"/>
      <c r="Q46" s="34"/>
      <c r="R46" s="34"/>
      <c r="S46" s="34"/>
      <c r="T46" s="34"/>
      <c r="U46" s="34"/>
      <c r="V46" s="34"/>
      <c r="X46" s="34"/>
      <c r="Z46" s="31"/>
      <c r="AB46" s="34"/>
      <c r="AD46" s="42"/>
      <c r="AG46" s="34"/>
      <c r="AH46" s="34"/>
      <c r="AI46" s="34"/>
      <c r="AM46" s="34"/>
      <c r="AN46" s="34"/>
      <c r="AO46" s="34"/>
      <c r="AP46" s="34"/>
      <c r="AR46" s="34"/>
      <c r="AS46" s="34"/>
      <c r="AT46" s="34"/>
      <c r="AU46" s="34"/>
      <c r="AV46" s="34"/>
      <c r="AW46" s="34"/>
      <c r="BB46" s="30"/>
      <c r="BC46" s="30"/>
    </row>
    <row r="47" spans="1:55" ht="12.75">
      <c r="A47" s="30" t="s">
        <v>265</v>
      </c>
      <c r="B47" s="31">
        <v>0</v>
      </c>
      <c r="C47" s="31">
        <v>0</v>
      </c>
      <c r="D47" s="31">
        <v>27110</v>
      </c>
      <c r="E47" s="31">
        <v>0</v>
      </c>
      <c r="F47" s="31">
        <v>0</v>
      </c>
      <c r="G47" s="30">
        <v>0</v>
      </c>
      <c r="H47" s="30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0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BA47" s="31"/>
      <c r="BB47" s="30">
        <f t="shared" si="0"/>
        <v>27110</v>
      </c>
      <c r="BC47" s="30"/>
    </row>
    <row r="48" spans="1:55" ht="12.75">
      <c r="A48" s="30" t="s">
        <v>266</v>
      </c>
      <c r="B48" s="31">
        <v>127181</v>
      </c>
      <c r="C48" s="31">
        <v>0</v>
      </c>
      <c r="D48" s="31">
        <v>0</v>
      </c>
      <c r="E48" s="31">
        <v>0</v>
      </c>
      <c r="F48" s="31">
        <v>0</v>
      </c>
      <c r="G48" s="30">
        <v>411070</v>
      </c>
      <c r="H48" s="30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3837</v>
      </c>
      <c r="Q48" s="31">
        <v>0</v>
      </c>
      <c r="R48" s="31">
        <v>0</v>
      </c>
      <c r="S48" s="31">
        <v>37104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1">
        <v>0</v>
      </c>
      <c r="AO48" s="31">
        <v>0</v>
      </c>
      <c r="AP48" s="31">
        <v>1085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BA48" s="31"/>
      <c r="BB48" s="30">
        <f t="shared" si="0"/>
        <v>580277</v>
      </c>
      <c r="BC48" s="30"/>
    </row>
    <row r="49" spans="1:55" ht="12.75">
      <c r="A49" s="33" t="s">
        <v>267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0">
        <v>0</v>
      </c>
      <c r="H49" s="30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4">
        <v>0</v>
      </c>
      <c r="AA49" s="30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v>0</v>
      </c>
      <c r="AJ49" s="79">
        <v>0</v>
      </c>
      <c r="AK49" s="79">
        <v>0</v>
      </c>
      <c r="AL49" s="79">
        <v>0</v>
      </c>
      <c r="AM49" s="79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2"/>
      <c r="BA49" s="31"/>
      <c r="BB49" s="30">
        <f t="shared" si="0"/>
        <v>0</v>
      </c>
      <c r="BC49" s="30"/>
    </row>
    <row r="50" spans="1:55" ht="12.75">
      <c r="A50" s="30" t="s">
        <v>268</v>
      </c>
      <c r="B50" s="31">
        <v>327892</v>
      </c>
      <c r="C50" s="31">
        <v>267306</v>
      </c>
      <c r="D50" s="31">
        <v>115713</v>
      </c>
      <c r="E50" s="31">
        <v>20764</v>
      </c>
      <c r="F50" s="31">
        <v>45465.039</v>
      </c>
      <c r="G50" s="30">
        <v>49714</v>
      </c>
      <c r="H50" s="31">
        <v>806</v>
      </c>
      <c r="I50" s="31">
        <v>38644</v>
      </c>
      <c r="J50" s="31">
        <v>14502</v>
      </c>
      <c r="K50" s="31">
        <v>81683</v>
      </c>
      <c r="L50" s="31">
        <v>28872</v>
      </c>
      <c r="M50" s="31">
        <v>11853</v>
      </c>
      <c r="N50" s="31">
        <v>2022</v>
      </c>
      <c r="O50" s="31">
        <v>2130</v>
      </c>
      <c r="P50" s="31">
        <v>44852</v>
      </c>
      <c r="Q50" s="31">
        <v>6036</v>
      </c>
      <c r="R50" s="31">
        <v>12041</v>
      </c>
      <c r="S50" s="31">
        <v>626</v>
      </c>
      <c r="T50" s="31">
        <v>6069</v>
      </c>
      <c r="U50" s="31">
        <v>8764.867</v>
      </c>
      <c r="V50" s="31">
        <v>72805</v>
      </c>
      <c r="W50" s="31">
        <v>2514</v>
      </c>
      <c r="X50" s="31">
        <v>7611</v>
      </c>
      <c r="Y50" s="31">
        <v>56549.265</v>
      </c>
      <c r="Z50" s="30">
        <v>6965</v>
      </c>
      <c r="AA50" s="30">
        <v>600</v>
      </c>
      <c r="AB50" s="34">
        <v>0</v>
      </c>
      <c r="AC50" s="31">
        <v>1684.153</v>
      </c>
      <c r="AD50" s="31">
        <v>0</v>
      </c>
      <c r="AE50" s="31">
        <v>2316</v>
      </c>
      <c r="AF50" s="31">
        <v>1160</v>
      </c>
      <c r="AG50" s="31">
        <v>0</v>
      </c>
      <c r="AH50" s="31">
        <v>950</v>
      </c>
      <c r="AI50" s="31">
        <v>4425</v>
      </c>
      <c r="AJ50" s="31">
        <v>25174</v>
      </c>
      <c r="AK50" s="31">
        <v>696</v>
      </c>
      <c r="AL50" s="31">
        <v>1369.305</v>
      </c>
      <c r="AM50" s="31">
        <v>3001</v>
      </c>
      <c r="AN50" s="31">
        <v>2035</v>
      </c>
      <c r="AO50" s="31">
        <v>1044</v>
      </c>
      <c r="AP50" s="31">
        <v>0</v>
      </c>
      <c r="AQ50" s="31">
        <v>1890</v>
      </c>
      <c r="AR50" s="31">
        <v>2090</v>
      </c>
      <c r="AS50" s="31">
        <v>1362</v>
      </c>
      <c r="AT50" s="31">
        <v>0</v>
      </c>
      <c r="AU50" s="31">
        <v>2391</v>
      </c>
      <c r="AV50" s="31">
        <v>4477</v>
      </c>
      <c r="AW50" s="31">
        <v>0</v>
      </c>
      <c r="AX50" s="31">
        <v>45296.071</v>
      </c>
      <c r="AY50" s="31">
        <v>34</v>
      </c>
      <c r="BA50" s="31"/>
      <c r="BB50" s="30">
        <f t="shared" si="0"/>
        <v>1334193.6999999997</v>
      </c>
      <c r="BC50" s="30"/>
    </row>
    <row r="51" spans="1:55" ht="12.75">
      <c r="A51" s="285" t="s">
        <v>269</v>
      </c>
      <c r="B51" s="30">
        <f>SUM(B47:B50)</f>
        <v>455073</v>
      </c>
      <c r="C51" s="30">
        <f aca="true" t="shared" si="6" ref="C51:AY51">SUM(C47:C50)</f>
        <v>267306</v>
      </c>
      <c r="D51" s="30">
        <f t="shared" si="6"/>
        <v>142823</v>
      </c>
      <c r="E51" s="30">
        <f t="shared" si="6"/>
        <v>20764</v>
      </c>
      <c r="F51" s="30">
        <f t="shared" si="6"/>
        <v>45465.039</v>
      </c>
      <c r="G51" s="30">
        <f t="shared" si="6"/>
        <v>460784</v>
      </c>
      <c r="H51" s="30">
        <f t="shared" si="6"/>
        <v>806</v>
      </c>
      <c r="I51" s="30">
        <f t="shared" si="6"/>
        <v>38644</v>
      </c>
      <c r="J51" s="30">
        <f t="shared" si="6"/>
        <v>14502</v>
      </c>
      <c r="K51" s="30">
        <f t="shared" si="6"/>
        <v>81683</v>
      </c>
      <c r="L51" s="30">
        <f t="shared" si="6"/>
        <v>28872</v>
      </c>
      <c r="M51" s="30">
        <f t="shared" si="6"/>
        <v>11853</v>
      </c>
      <c r="N51" s="30">
        <f t="shared" si="6"/>
        <v>2022</v>
      </c>
      <c r="O51" s="30">
        <f t="shared" si="6"/>
        <v>2130</v>
      </c>
      <c r="P51" s="30">
        <f t="shared" si="6"/>
        <v>48689</v>
      </c>
      <c r="Q51" s="30">
        <f t="shared" si="6"/>
        <v>6036</v>
      </c>
      <c r="R51" s="30">
        <f t="shared" si="6"/>
        <v>12041</v>
      </c>
      <c r="S51" s="30">
        <f t="shared" si="6"/>
        <v>37730</v>
      </c>
      <c r="T51" s="30">
        <f t="shared" si="6"/>
        <v>6069</v>
      </c>
      <c r="U51" s="30">
        <f t="shared" si="6"/>
        <v>8764.867</v>
      </c>
      <c r="V51" s="30">
        <f t="shared" si="6"/>
        <v>72805</v>
      </c>
      <c r="W51" s="30">
        <f t="shared" si="6"/>
        <v>2514</v>
      </c>
      <c r="X51" s="30">
        <f t="shared" si="6"/>
        <v>7611</v>
      </c>
      <c r="Y51" s="30">
        <f t="shared" si="6"/>
        <v>56549.265</v>
      </c>
      <c r="Z51" s="30">
        <f t="shared" si="6"/>
        <v>6965</v>
      </c>
      <c r="AA51" s="30">
        <f t="shared" si="6"/>
        <v>600</v>
      </c>
      <c r="AB51" s="30">
        <f t="shared" si="6"/>
        <v>0</v>
      </c>
      <c r="AC51" s="30">
        <f t="shared" si="6"/>
        <v>1684.153</v>
      </c>
      <c r="AD51" s="30">
        <f t="shared" si="6"/>
        <v>0</v>
      </c>
      <c r="AE51" s="30">
        <f t="shared" si="6"/>
        <v>2316</v>
      </c>
      <c r="AF51" s="30">
        <f t="shared" si="6"/>
        <v>1160</v>
      </c>
      <c r="AG51" s="30">
        <f t="shared" si="6"/>
        <v>0</v>
      </c>
      <c r="AH51" s="30">
        <f t="shared" si="6"/>
        <v>950</v>
      </c>
      <c r="AI51" s="30">
        <f t="shared" si="6"/>
        <v>4425</v>
      </c>
      <c r="AJ51" s="30">
        <f t="shared" si="6"/>
        <v>25174</v>
      </c>
      <c r="AK51" s="30">
        <f t="shared" si="6"/>
        <v>696</v>
      </c>
      <c r="AL51" s="30">
        <f t="shared" si="6"/>
        <v>1369.305</v>
      </c>
      <c r="AM51" s="30">
        <f t="shared" si="6"/>
        <v>3001</v>
      </c>
      <c r="AN51" s="30">
        <f t="shared" si="6"/>
        <v>2035</v>
      </c>
      <c r="AO51" s="30">
        <f t="shared" si="6"/>
        <v>1044</v>
      </c>
      <c r="AP51" s="30">
        <f t="shared" si="6"/>
        <v>1085</v>
      </c>
      <c r="AQ51" s="30">
        <f t="shared" si="6"/>
        <v>1890</v>
      </c>
      <c r="AR51" s="30">
        <f t="shared" si="6"/>
        <v>2090</v>
      </c>
      <c r="AS51" s="30">
        <f t="shared" si="6"/>
        <v>1362</v>
      </c>
      <c r="AT51" s="30">
        <f t="shared" si="6"/>
        <v>0</v>
      </c>
      <c r="AU51" s="30">
        <f t="shared" si="6"/>
        <v>2391</v>
      </c>
      <c r="AV51" s="30">
        <f t="shared" si="6"/>
        <v>4477</v>
      </c>
      <c r="AW51" s="30">
        <f t="shared" si="6"/>
        <v>0</v>
      </c>
      <c r="AX51" s="30">
        <f t="shared" si="6"/>
        <v>45296.071</v>
      </c>
      <c r="AY51" s="30">
        <f t="shared" si="6"/>
        <v>34</v>
      </c>
      <c r="BA51" s="30"/>
      <c r="BB51" s="30">
        <f t="shared" si="0"/>
        <v>1941580.6999999997</v>
      </c>
      <c r="BC51" s="30"/>
    </row>
    <row r="52" spans="1:55" ht="15" customHeight="1">
      <c r="A52" s="32"/>
      <c r="E52" s="34"/>
      <c r="F52" s="34"/>
      <c r="G52" s="34"/>
      <c r="I52" s="31"/>
      <c r="O52" s="42"/>
      <c r="Q52" s="34"/>
      <c r="R52" s="34"/>
      <c r="S52" s="34"/>
      <c r="T52" s="34"/>
      <c r="U52" s="34"/>
      <c r="V52" s="34"/>
      <c r="X52" s="34"/>
      <c r="Z52" s="30"/>
      <c r="AB52" s="34"/>
      <c r="AD52" s="42"/>
      <c r="AG52" s="34"/>
      <c r="AH52" s="34"/>
      <c r="AI52" s="34"/>
      <c r="AM52" s="34"/>
      <c r="AN52" s="34"/>
      <c r="AO52" s="34"/>
      <c r="AP52" s="34"/>
      <c r="AR52" s="34"/>
      <c r="AS52" s="34"/>
      <c r="AT52" s="34"/>
      <c r="AU52" s="34"/>
      <c r="AV52" s="34"/>
      <c r="AW52" s="34"/>
      <c r="BB52" s="30"/>
      <c r="BC52" s="30"/>
    </row>
    <row r="53" spans="1:55" ht="12.75">
      <c r="A53" s="32" t="s">
        <v>270</v>
      </c>
      <c r="B53" s="30">
        <v>0</v>
      </c>
      <c r="C53" s="30">
        <v>0</v>
      </c>
      <c r="D53" s="30">
        <v>0</v>
      </c>
      <c r="E53" s="30">
        <v>4593</v>
      </c>
      <c r="F53" s="30">
        <v>12033.055</v>
      </c>
      <c r="G53" s="30">
        <v>0</v>
      </c>
      <c r="H53" s="30">
        <v>0</v>
      </c>
      <c r="I53" s="31">
        <v>0</v>
      </c>
      <c r="J53" s="31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9677.001</v>
      </c>
      <c r="V53" s="30">
        <v>0</v>
      </c>
      <c r="W53" s="30">
        <v>0</v>
      </c>
      <c r="X53" s="30">
        <v>9200</v>
      </c>
      <c r="Y53" s="30">
        <v>16740.602</v>
      </c>
      <c r="Z53" s="30">
        <v>0</v>
      </c>
      <c r="AA53" s="30">
        <v>0</v>
      </c>
      <c r="AB53" s="30">
        <v>0</v>
      </c>
      <c r="AC53" s="30">
        <v>0</v>
      </c>
      <c r="AD53" s="34">
        <v>0</v>
      </c>
      <c r="AE53" s="34">
        <v>0</v>
      </c>
      <c r="AF53" s="34">
        <v>0</v>
      </c>
      <c r="AG53" s="34">
        <v>0</v>
      </c>
      <c r="AH53" s="30">
        <v>990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7267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12"/>
      <c r="BA53" s="30"/>
      <c r="BB53" s="30">
        <f t="shared" si="0"/>
        <v>60500.657999999996</v>
      </c>
      <c r="BC53" s="30"/>
    </row>
    <row r="54" spans="1:55" ht="6" customHeight="1">
      <c r="A54" s="37"/>
      <c r="E54" s="34"/>
      <c r="F54" s="34"/>
      <c r="G54" s="34"/>
      <c r="I54" s="31"/>
      <c r="O54" s="42"/>
      <c r="Q54" s="34"/>
      <c r="R54" s="34"/>
      <c r="S54" s="34"/>
      <c r="T54" s="34"/>
      <c r="U54" s="34"/>
      <c r="V54" s="34"/>
      <c r="X54" s="34"/>
      <c r="Z54" s="30"/>
      <c r="AB54" s="34"/>
      <c r="AD54" s="42"/>
      <c r="AG54" s="34"/>
      <c r="AH54" s="34"/>
      <c r="AI54" s="34"/>
      <c r="AM54" s="34"/>
      <c r="AN54" s="34"/>
      <c r="AO54" s="34"/>
      <c r="AP54" s="34"/>
      <c r="AR54" s="34"/>
      <c r="AS54" s="34"/>
      <c r="AT54" s="34"/>
      <c r="AU54" s="34"/>
      <c r="AV54" s="34"/>
      <c r="AW54" s="34"/>
      <c r="BB54" s="30"/>
      <c r="BC54" s="30"/>
    </row>
    <row r="55" spans="1:55" ht="15.75" customHeight="1">
      <c r="A55" s="286" t="s">
        <v>399</v>
      </c>
      <c r="B55" s="30">
        <f>+B44+B51+B53</f>
        <v>486399</v>
      </c>
      <c r="C55" s="30">
        <f aca="true" t="shared" si="7" ref="C55:AY55">+C44+C51+C53</f>
        <v>267306</v>
      </c>
      <c r="D55" s="30">
        <f t="shared" si="7"/>
        <v>142823</v>
      </c>
      <c r="E55" s="30">
        <f t="shared" si="7"/>
        <v>25357</v>
      </c>
      <c r="F55" s="30">
        <f t="shared" si="7"/>
        <v>57498.094</v>
      </c>
      <c r="G55" s="30">
        <f t="shared" si="7"/>
        <v>460784</v>
      </c>
      <c r="H55" s="30">
        <f t="shared" si="7"/>
        <v>806</v>
      </c>
      <c r="I55" s="30">
        <f t="shared" si="7"/>
        <v>38644</v>
      </c>
      <c r="J55" s="30">
        <f t="shared" si="7"/>
        <v>14502</v>
      </c>
      <c r="K55" s="30">
        <f t="shared" si="7"/>
        <v>81683</v>
      </c>
      <c r="L55" s="30">
        <f t="shared" si="7"/>
        <v>28872</v>
      </c>
      <c r="M55" s="30">
        <f t="shared" si="7"/>
        <v>11853</v>
      </c>
      <c r="N55" s="30">
        <f t="shared" si="7"/>
        <v>2022</v>
      </c>
      <c r="O55" s="30">
        <f t="shared" si="7"/>
        <v>2130</v>
      </c>
      <c r="P55" s="30">
        <f t="shared" si="7"/>
        <v>48689</v>
      </c>
      <c r="Q55" s="30">
        <f t="shared" si="7"/>
        <v>6036</v>
      </c>
      <c r="R55" s="30">
        <f t="shared" si="7"/>
        <v>12041</v>
      </c>
      <c r="S55" s="30">
        <f t="shared" si="7"/>
        <v>40597</v>
      </c>
      <c r="T55" s="30">
        <f t="shared" si="7"/>
        <v>6069</v>
      </c>
      <c r="U55" s="30">
        <f t="shared" si="7"/>
        <v>18441.868000000002</v>
      </c>
      <c r="V55" s="30">
        <f t="shared" si="7"/>
        <v>72805</v>
      </c>
      <c r="W55" s="30">
        <f t="shared" si="7"/>
        <v>2514</v>
      </c>
      <c r="X55" s="30">
        <f t="shared" si="7"/>
        <v>16811</v>
      </c>
      <c r="Y55" s="30">
        <f t="shared" si="7"/>
        <v>73289.867</v>
      </c>
      <c r="Z55" s="30">
        <f t="shared" si="7"/>
        <v>6965</v>
      </c>
      <c r="AA55" s="30">
        <f t="shared" si="7"/>
        <v>600</v>
      </c>
      <c r="AB55" s="30">
        <f t="shared" si="7"/>
        <v>0</v>
      </c>
      <c r="AC55" s="30">
        <f t="shared" si="7"/>
        <v>1684.153</v>
      </c>
      <c r="AD55" s="30">
        <f t="shared" si="7"/>
        <v>0</v>
      </c>
      <c r="AE55" s="30">
        <f t="shared" si="7"/>
        <v>2316</v>
      </c>
      <c r="AF55" s="30">
        <f t="shared" si="7"/>
        <v>1160</v>
      </c>
      <c r="AG55" s="30">
        <f t="shared" si="7"/>
        <v>0</v>
      </c>
      <c r="AH55" s="30">
        <f t="shared" si="7"/>
        <v>1940</v>
      </c>
      <c r="AI55" s="30">
        <f t="shared" si="7"/>
        <v>4425</v>
      </c>
      <c r="AJ55" s="30">
        <f t="shared" si="7"/>
        <v>25174</v>
      </c>
      <c r="AK55" s="30">
        <f t="shared" si="7"/>
        <v>696</v>
      </c>
      <c r="AL55" s="30">
        <f t="shared" si="7"/>
        <v>1369.305</v>
      </c>
      <c r="AM55" s="30">
        <f t="shared" si="7"/>
        <v>3001</v>
      </c>
      <c r="AN55" s="30">
        <f t="shared" si="7"/>
        <v>2035</v>
      </c>
      <c r="AO55" s="30">
        <f t="shared" si="7"/>
        <v>1044</v>
      </c>
      <c r="AP55" s="30">
        <f t="shared" si="7"/>
        <v>1085</v>
      </c>
      <c r="AQ55" s="30">
        <f t="shared" si="7"/>
        <v>1890</v>
      </c>
      <c r="AR55" s="30">
        <f t="shared" si="7"/>
        <v>2090</v>
      </c>
      <c r="AS55" s="30">
        <f t="shared" si="7"/>
        <v>8629</v>
      </c>
      <c r="AT55" s="30">
        <f t="shared" si="7"/>
        <v>0</v>
      </c>
      <c r="AU55" s="30">
        <f t="shared" si="7"/>
        <v>2391</v>
      </c>
      <c r="AV55" s="30">
        <f t="shared" si="7"/>
        <v>4477</v>
      </c>
      <c r="AW55" s="30">
        <f t="shared" si="7"/>
        <v>0</v>
      </c>
      <c r="AX55" s="30">
        <f t="shared" si="7"/>
        <v>45296.071</v>
      </c>
      <c r="AY55" s="30">
        <f t="shared" si="7"/>
        <v>34</v>
      </c>
      <c r="BA55" s="30"/>
      <c r="BB55" s="30">
        <f t="shared" si="0"/>
        <v>2036274.358</v>
      </c>
      <c r="BC55" s="30"/>
    </row>
    <row r="56" spans="1:55" ht="13.5" customHeight="1">
      <c r="A56" s="32" t="s">
        <v>271</v>
      </c>
      <c r="D56" s="41">
        <v>0</v>
      </c>
      <c r="E56" s="34"/>
      <c r="F56" s="34"/>
      <c r="G56" s="34"/>
      <c r="O56" s="42"/>
      <c r="Q56" s="34"/>
      <c r="R56" s="34"/>
      <c r="S56" s="34"/>
      <c r="T56" s="34"/>
      <c r="U56" s="34"/>
      <c r="V56" s="34"/>
      <c r="X56" s="34"/>
      <c r="AB56" s="34"/>
      <c r="AD56" s="42"/>
      <c r="AG56" s="34"/>
      <c r="AH56" s="34"/>
      <c r="AI56" s="34"/>
      <c r="AM56" s="34"/>
      <c r="AN56" s="34"/>
      <c r="AO56" s="34"/>
      <c r="AP56" s="34"/>
      <c r="AR56" s="34"/>
      <c r="AS56" s="34"/>
      <c r="AT56" s="34"/>
      <c r="AU56" s="34"/>
      <c r="AV56" s="34"/>
      <c r="AW56" s="34"/>
      <c r="BB56" s="30"/>
      <c r="BC56" s="30"/>
    </row>
    <row r="57" spans="1:54" ht="12.75">
      <c r="A57" s="32" t="s">
        <v>272</v>
      </c>
      <c r="B57" s="30">
        <f>+B40-B55</f>
        <v>146257598</v>
      </c>
      <c r="C57" s="30">
        <f>+C40-C55</f>
        <v>123657259</v>
      </c>
      <c r="D57" s="30">
        <f aca="true" t="shared" si="8" ref="D57:AY57">+D40-D55</f>
        <v>64122733</v>
      </c>
      <c r="E57" s="30">
        <f t="shared" si="8"/>
        <v>56246990</v>
      </c>
      <c r="F57" s="30">
        <f t="shared" si="8"/>
        <v>52296137.423</v>
      </c>
      <c r="G57" s="30">
        <f t="shared" si="8"/>
        <v>32411283</v>
      </c>
      <c r="H57" s="30">
        <f t="shared" si="8"/>
        <v>28332337</v>
      </c>
      <c r="I57" s="30">
        <f t="shared" si="8"/>
        <v>26174734</v>
      </c>
      <c r="J57" s="30">
        <f t="shared" si="8"/>
        <v>25820127</v>
      </c>
      <c r="K57" s="30">
        <f t="shared" si="8"/>
        <v>22826729</v>
      </c>
      <c r="L57" s="30">
        <f t="shared" si="8"/>
        <v>22469756</v>
      </c>
      <c r="M57" s="30">
        <f t="shared" si="8"/>
        <v>20326818</v>
      </c>
      <c r="N57" s="30">
        <f t="shared" si="8"/>
        <v>15675787</v>
      </c>
      <c r="O57" s="30">
        <f t="shared" si="8"/>
        <v>15564174</v>
      </c>
      <c r="P57" s="30">
        <f t="shared" si="8"/>
        <v>15200633</v>
      </c>
      <c r="Q57" s="30">
        <f t="shared" si="8"/>
        <v>14746695</v>
      </c>
      <c r="R57" s="30">
        <f t="shared" si="8"/>
        <v>13717390</v>
      </c>
      <c r="S57" s="30">
        <f t="shared" si="8"/>
        <v>12937557</v>
      </c>
      <c r="T57" s="30">
        <f t="shared" si="8"/>
        <v>12922345</v>
      </c>
      <c r="U57" s="30">
        <f t="shared" si="8"/>
        <v>12696730.471</v>
      </c>
      <c r="V57" s="30">
        <f t="shared" si="8"/>
        <v>10044471</v>
      </c>
      <c r="W57" s="30">
        <f t="shared" si="8"/>
        <v>9583301</v>
      </c>
      <c r="X57" s="30">
        <f t="shared" si="8"/>
        <v>9026776</v>
      </c>
      <c r="Y57" s="30">
        <f t="shared" si="8"/>
        <v>7745837.499000001</v>
      </c>
      <c r="Z57" s="30">
        <f t="shared" si="8"/>
        <v>7629767</v>
      </c>
      <c r="AA57" s="30">
        <f t="shared" si="8"/>
        <v>7502572</v>
      </c>
      <c r="AB57" s="30">
        <f t="shared" si="8"/>
        <v>6409499</v>
      </c>
      <c r="AC57" s="30">
        <f t="shared" si="8"/>
        <v>5495503.65</v>
      </c>
      <c r="AD57" s="30">
        <f t="shared" si="8"/>
        <v>3247975</v>
      </c>
      <c r="AE57" s="30">
        <f t="shared" si="8"/>
        <v>2728172</v>
      </c>
      <c r="AF57" s="30">
        <f t="shared" si="8"/>
        <v>2679858</v>
      </c>
      <c r="AG57" s="30">
        <f t="shared" si="8"/>
        <v>2279171</v>
      </c>
      <c r="AH57" s="30">
        <f t="shared" si="8"/>
        <v>2250869</v>
      </c>
      <c r="AI57" s="30">
        <f t="shared" si="8"/>
        <v>1601449</v>
      </c>
      <c r="AJ57" s="30">
        <f t="shared" si="8"/>
        <v>1585889</v>
      </c>
      <c r="AK57" s="30">
        <f t="shared" si="8"/>
        <v>1475470</v>
      </c>
      <c r="AL57" s="30">
        <f t="shared" si="8"/>
        <v>1417801.8380000002</v>
      </c>
      <c r="AM57" s="30">
        <f t="shared" si="8"/>
        <v>1368427</v>
      </c>
      <c r="AN57" s="30">
        <f t="shared" si="8"/>
        <v>1182750</v>
      </c>
      <c r="AO57" s="30">
        <f t="shared" si="8"/>
        <v>885206</v>
      </c>
      <c r="AP57" s="30">
        <f t="shared" si="8"/>
        <v>665253</v>
      </c>
      <c r="AQ57" s="30">
        <f t="shared" si="8"/>
        <v>595106</v>
      </c>
      <c r="AR57" s="30">
        <f t="shared" si="8"/>
        <v>550918</v>
      </c>
      <c r="AS57" s="30">
        <f t="shared" si="8"/>
        <v>486957</v>
      </c>
      <c r="AT57" s="30">
        <f t="shared" si="8"/>
        <v>452728.273</v>
      </c>
      <c r="AU57" s="30">
        <f t="shared" si="8"/>
        <v>366418</v>
      </c>
      <c r="AV57" s="30">
        <f t="shared" si="8"/>
        <v>195390</v>
      </c>
      <c r="AW57" s="30">
        <f t="shared" si="8"/>
        <v>97770</v>
      </c>
      <c r="AX57" s="30">
        <f t="shared" si="8"/>
        <v>13903.926</v>
      </c>
      <c r="AY57" s="30">
        <f t="shared" si="8"/>
        <v>8344</v>
      </c>
      <c r="BA57" s="30"/>
      <c r="BB57" s="30">
        <f t="shared" si="0"/>
        <v>823977366.0799999</v>
      </c>
    </row>
    <row r="58" spans="7:54" ht="12" customHeight="1">
      <c r="G58" s="30"/>
      <c r="BB58" s="30"/>
    </row>
    <row r="59" ht="12.75">
      <c r="AZ59" s="41"/>
    </row>
    <row r="60" ht="12.75" hidden="1"/>
    <row r="61" spans="2:79" ht="12.75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</row>
  </sheetData>
  <sheetProtection/>
  <printOptions/>
  <pageMargins left="0.3937007874015748" right="0.1968503937007874" top="0.984251968503937" bottom="0.4724409448818898" header="0.3937007874015748" footer="0.31496062992125984"/>
  <pageSetup firstPageNumber="17" useFirstPageNumber="1" horizontalDpi="600" verticalDpi="600" orientation="portrait" paperSize="9" r:id="rId1"/>
  <headerFooter alignWithMargins="0">
    <oddHeader>&amp;C&amp;"Times New Roman,Bold"&amp;14 3.2. EFNAHAGSREIKNINGAR 31.12.2003</oddHeader>
    <oddFooter>&amp;R&amp;"Times New Roman,Regular"&amp;P</oddFooter>
  </headerFooter>
  <colBreaks count="2" manualBreakCount="2">
    <brk id="15" max="59" man="1"/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67"/>
  <sheetViews>
    <sheetView zoomScaleSheetLayoutView="100" zoomScalePageLayoutView="0" workbookViewId="0" topLeftCell="A1">
      <pane xSplit="1" ySplit="4" topLeftCell="AX29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D28" sqref="D28"/>
    </sheetView>
  </sheetViews>
  <sheetFormatPr defaultColWidth="9.140625" defaultRowHeight="12.75"/>
  <cols>
    <col min="1" max="1" width="28.00390625" style="41" customWidth="1"/>
    <col min="2" max="3" width="9.8515625" style="41" customWidth="1"/>
    <col min="4" max="4" width="9.8515625" style="95" customWidth="1"/>
    <col min="5" max="9" width="9.8515625" style="41" customWidth="1"/>
    <col min="10" max="10" width="9.7109375" style="41" customWidth="1"/>
    <col min="11" max="11" width="9.140625" style="41" bestFit="1" customWidth="1"/>
    <col min="12" max="16" width="9.7109375" style="41" customWidth="1"/>
    <col min="17" max="20" width="9.8515625" style="41" customWidth="1"/>
    <col min="21" max="21" width="9.140625" style="41" bestFit="1" customWidth="1"/>
    <col min="22" max="22" width="10.00390625" style="41" customWidth="1"/>
    <col min="23" max="23" width="9.8515625" style="41" customWidth="1"/>
    <col min="24" max="29" width="9.57421875" style="41" customWidth="1"/>
    <col min="30" max="35" width="10.00390625" style="41" customWidth="1"/>
    <col min="36" max="39" width="10.28125" style="41" customWidth="1"/>
    <col min="40" max="40" width="10.00390625" style="41" customWidth="1"/>
    <col min="41" max="41" width="9.140625" style="41" bestFit="1" customWidth="1"/>
    <col min="42" max="42" width="10.7109375" style="41" bestFit="1" customWidth="1"/>
    <col min="43" max="44" width="10.28125" style="41" customWidth="1"/>
    <col min="45" max="46" width="10.00390625" style="41" customWidth="1"/>
    <col min="47" max="47" width="13.28125" style="41" customWidth="1"/>
    <col min="48" max="48" width="10.140625" style="41" customWidth="1"/>
    <col min="49" max="49" width="10.28125" style="41" customWidth="1"/>
    <col min="50" max="50" width="9.8515625" style="41" customWidth="1"/>
    <col min="51" max="51" width="9.57421875" style="41" customWidth="1"/>
    <col min="52" max="52" width="7.00390625" style="41" customWidth="1"/>
    <col min="53" max="53" width="12.00390625" style="41" customWidth="1"/>
    <col min="54" max="54" width="2.00390625" style="41" customWidth="1"/>
    <col min="55" max="55" width="11.140625" style="41" customWidth="1"/>
    <col min="56" max="56" width="12.57421875" style="41" customWidth="1"/>
    <col min="57" max="57" width="3.28125" style="41" customWidth="1"/>
    <col min="58" max="16384" width="9.140625" style="41" customWidth="1"/>
  </cols>
  <sheetData>
    <row r="1" spans="1:55" ht="12.75" customHeight="1">
      <c r="A1" s="30"/>
      <c r="B1" s="84" t="s">
        <v>71</v>
      </c>
      <c r="C1" s="84" t="s">
        <v>71</v>
      </c>
      <c r="D1" s="84" t="s">
        <v>71</v>
      </c>
      <c r="E1" s="84" t="s">
        <v>71</v>
      </c>
      <c r="F1" s="84" t="s">
        <v>72</v>
      </c>
      <c r="G1" s="84" t="s">
        <v>71</v>
      </c>
      <c r="H1" s="84" t="s">
        <v>73</v>
      </c>
      <c r="I1" s="84" t="s">
        <v>525</v>
      </c>
      <c r="J1" s="84" t="s">
        <v>75</v>
      </c>
      <c r="K1" s="84" t="s">
        <v>71</v>
      </c>
      <c r="L1" s="84" t="s">
        <v>71</v>
      </c>
      <c r="M1" s="84" t="s">
        <v>74</v>
      </c>
      <c r="N1" s="84" t="s">
        <v>71</v>
      </c>
      <c r="O1" s="84" t="s">
        <v>71</v>
      </c>
      <c r="P1" s="84" t="s">
        <v>71</v>
      </c>
      <c r="Q1" s="84" t="s">
        <v>71</v>
      </c>
      <c r="R1" s="84" t="s">
        <v>71</v>
      </c>
      <c r="S1" s="84" t="s">
        <v>71</v>
      </c>
      <c r="T1" s="84" t="s">
        <v>71</v>
      </c>
      <c r="U1" s="84" t="s">
        <v>71</v>
      </c>
      <c r="V1" s="84" t="s">
        <v>71</v>
      </c>
      <c r="W1" s="84" t="s">
        <v>71</v>
      </c>
      <c r="X1" s="84" t="s">
        <v>76</v>
      </c>
      <c r="Y1" s="84" t="s">
        <v>78</v>
      </c>
      <c r="Z1" s="84" t="s">
        <v>71</v>
      </c>
      <c r="AA1" s="84" t="s">
        <v>71</v>
      </c>
      <c r="AB1" s="84" t="s">
        <v>71</v>
      </c>
      <c r="AC1" s="84" t="s">
        <v>80</v>
      </c>
      <c r="AD1" s="84" t="s">
        <v>79</v>
      </c>
      <c r="AE1" s="84" t="s">
        <v>71</v>
      </c>
      <c r="AF1" s="84" t="s">
        <v>71</v>
      </c>
      <c r="AG1" s="84" t="s">
        <v>71</v>
      </c>
      <c r="AH1" s="84" t="s">
        <v>71</v>
      </c>
      <c r="AI1" s="84" t="s">
        <v>71</v>
      </c>
      <c r="AJ1" s="84" t="s">
        <v>71</v>
      </c>
      <c r="AK1" s="84" t="s">
        <v>79</v>
      </c>
      <c r="AL1" s="84" t="s">
        <v>79</v>
      </c>
      <c r="AM1" s="84" t="s">
        <v>71</v>
      </c>
      <c r="AN1" s="84" t="s">
        <v>71</v>
      </c>
      <c r="AO1" s="84" t="s">
        <v>71</v>
      </c>
      <c r="AP1" s="84" t="s">
        <v>79</v>
      </c>
      <c r="AQ1" s="84" t="s">
        <v>79</v>
      </c>
      <c r="AR1" s="84" t="s">
        <v>79</v>
      </c>
      <c r="AS1" s="84" t="s">
        <v>71</v>
      </c>
      <c r="AT1" s="84" t="s">
        <v>77</v>
      </c>
      <c r="AU1" s="84" t="s">
        <v>71</v>
      </c>
      <c r="AV1" s="84" t="s">
        <v>71</v>
      </c>
      <c r="AW1" s="84" t="s">
        <v>79</v>
      </c>
      <c r="AX1" s="84" t="s">
        <v>71</v>
      </c>
      <c r="AY1" s="84" t="s">
        <v>71</v>
      </c>
      <c r="AZ1"/>
      <c r="BA1" s="84" t="s">
        <v>81</v>
      </c>
      <c r="BB1" s="84"/>
      <c r="BC1" s="84"/>
    </row>
    <row r="2" spans="1:55" ht="12.75">
      <c r="A2" s="33" t="s">
        <v>64</v>
      </c>
      <c r="B2" s="84" t="s">
        <v>83</v>
      </c>
      <c r="C2" s="84" t="s">
        <v>82</v>
      </c>
      <c r="D2" s="84" t="s">
        <v>84</v>
      </c>
      <c r="E2" s="84" t="s">
        <v>86</v>
      </c>
      <c r="F2" s="84" t="s">
        <v>85</v>
      </c>
      <c r="G2" s="84" t="s">
        <v>87</v>
      </c>
      <c r="H2" s="84" t="s">
        <v>85</v>
      </c>
      <c r="I2" s="84" t="s">
        <v>97</v>
      </c>
      <c r="J2" s="84" t="s">
        <v>85</v>
      </c>
      <c r="K2" s="84" t="s">
        <v>89</v>
      </c>
      <c r="L2" s="84" t="s">
        <v>88</v>
      </c>
      <c r="M2" s="84" t="s">
        <v>85</v>
      </c>
      <c r="N2" s="84" t="s">
        <v>90</v>
      </c>
      <c r="O2" s="84" t="s">
        <v>92</v>
      </c>
      <c r="P2" s="84" t="s">
        <v>91</v>
      </c>
      <c r="Q2" s="84" t="s">
        <v>95</v>
      </c>
      <c r="R2" s="84" t="s">
        <v>94</v>
      </c>
      <c r="S2" s="84" t="s">
        <v>98</v>
      </c>
      <c r="T2" s="84" t="s">
        <v>96</v>
      </c>
      <c r="U2" s="84" t="s">
        <v>93</v>
      </c>
      <c r="V2" s="84" t="s">
        <v>102</v>
      </c>
      <c r="W2" s="84" t="s">
        <v>99</v>
      </c>
      <c r="X2" s="84" t="s">
        <v>100</v>
      </c>
      <c r="Y2" s="84" t="s">
        <v>85</v>
      </c>
      <c r="Z2" s="84" t="s">
        <v>102</v>
      </c>
      <c r="AA2" s="84" t="s">
        <v>102</v>
      </c>
      <c r="AB2" s="84" t="s">
        <v>103</v>
      </c>
      <c r="AC2" s="84" t="s">
        <v>85</v>
      </c>
      <c r="AD2" s="84" t="s">
        <v>102</v>
      </c>
      <c r="AE2" s="84" t="s">
        <v>104</v>
      </c>
      <c r="AF2" s="84" t="s">
        <v>107</v>
      </c>
      <c r="AG2" s="84" t="s">
        <v>106</v>
      </c>
      <c r="AH2" s="84" t="s">
        <v>105</v>
      </c>
      <c r="AI2" s="84" t="s">
        <v>109</v>
      </c>
      <c r="AJ2" s="84" t="s">
        <v>112</v>
      </c>
      <c r="AK2" s="84" t="s">
        <v>110</v>
      </c>
      <c r="AL2" s="84" t="s">
        <v>108</v>
      </c>
      <c r="AM2" s="84" t="s">
        <v>111</v>
      </c>
      <c r="AN2" s="84" t="s">
        <v>113</v>
      </c>
      <c r="AO2" s="84" t="s">
        <v>114</v>
      </c>
      <c r="AP2" s="84" t="s">
        <v>116</v>
      </c>
      <c r="AQ2" s="84" t="s">
        <v>115</v>
      </c>
      <c r="AR2" s="84" t="s">
        <v>117</v>
      </c>
      <c r="AS2" s="84" t="s">
        <v>102</v>
      </c>
      <c r="AT2" s="84" t="s">
        <v>101</v>
      </c>
      <c r="AU2" s="84" t="s">
        <v>422</v>
      </c>
      <c r="AV2" s="84" t="s">
        <v>118</v>
      </c>
      <c r="AW2" s="84" t="s">
        <v>119</v>
      </c>
      <c r="AX2" s="84" t="s">
        <v>120</v>
      </c>
      <c r="AY2" s="84" t="s">
        <v>121</v>
      </c>
      <c r="AZ2"/>
      <c r="BA2" s="84" t="s">
        <v>122</v>
      </c>
      <c r="BB2" s="84"/>
      <c r="BC2" s="84"/>
    </row>
    <row r="3" spans="1:55" ht="12.75">
      <c r="A3" s="30"/>
      <c r="B3" s="84"/>
      <c r="C3" s="84" t="s">
        <v>125</v>
      </c>
      <c r="D3" s="84" t="s">
        <v>59</v>
      </c>
      <c r="E3" s="84" t="s">
        <v>59</v>
      </c>
      <c r="F3" s="84" t="s">
        <v>101</v>
      </c>
      <c r="G3" s="84" t="s">
        <v>128</v>
      </c>
      <c r="H3" s="84" t="s">
        <v>129</v>
      </c>
      <c r="I3" s="84"/>
      <c r="J3" s="84" t="s">
        <v>101</v>
      </c>
      <c r="K3" s="84" t="s">
        <v>59</v>
      </c>
      <c r="L3" s="84" t="s">
        <v>130</v>
      </c>
      <c r="M3" s="84" t="s">
        <v>101</v>
      </c>
      <c r="N3" s="84" t="s">
        <v>128</v>
      </c>
      <c r="O3" s="84" t="s">
        <v>59</v>
      </c>
      <c r="P3" s="84" t="s">
        <v>131</v>
      </c>
      <c r="Q3" s="84" t="s">
        <v>133</v>
      </c>
      <c r="R3" s="84" t="s">
        <v>132</v>
      </c>
      <c r="S3" s="84" t="s">
        <v>135</v>
      </c>
      <c r="T3" s="84" t="s">
        <v>134</v>
      </c>
      <c r="U3" s="84" t="s">
        <v>59</v>
      </c>
      <c r="V3" s="84" t="s">
        <v>139</v>
      </c>
      <c r="W3" s="84" t="s">
        <v>128</v>
      </c>
      <c r="X3" s="84" t="s">
        <v>136</v>
      </c>
      <c r="Y3" s="84" t="s">
        <v>138</v>
      </c>
      <c r="Z3" s="84" t="s">
        <v>144</v>
      </c>
      <c r="AA3" s="84" t="s">
        <v>137</v>
      </c>
      <c r="AB3" s="84"/>
      <c r="AC3" s="84" t="s">
        <v>101</v>
      </c>
      <c r="AD3" s="84" t="s">
        <v>141</v>
      </c>
      <c r="AE3" s="84" t="s">
        <v>140</v>
      </c>
      <c r="AF3" s="84"/>
      <c r="AG3" s="84" t="s">
        <v>143</v>
      </c>
      <c r="AH3" s="84" t="s">
        <v>142</v>
      </c>
      <c r="AI3" s="84" t="s">
        <v>395</v>
      </c>
      <c r="AJ3" s="84" t="s">
        <v>148</v>
      </c>
      <c r="AK3" s="84" t="s">
        <v>146</v>
      </c>
      <c r="AL3" s="84" t="s">
        <v>145</v>
      </c>
      <c r="AM3" s="84" t="s">
        <v>147</v>
      </c>
      <c r="AN3" s="84" t="s">
        <v>149</v>
      </c>
      <c r="AO3" s="84" t="s">
        <v>150</v>
      </c>
      <c r="AP3" s="84" t="s">
        <v>151</v>
      </c>
      <c r="AQ3" s="84" t="s">
        <v>103</v>
      </c>
      <c r="AR3" s="84" t="s">
        <v>152</v>
      </c>
      <c r="AS3" s="84" t="s">
        <v>153</v>
      </c>
      <c r="AT3" s="84" t="s">
        <v>154</v>
      </c>
      <c r="AU3" s="84" t="s">
        <v>421</v>
      </c>
      <c r="AV3" s="84" t="s">
        <v>155</v>
      </c>
      <c r="AW3" s="84" t="s">
        <v>156</v>
      </c>
      <c r="AX3" s="84" t="s">
        <v>157</v>
      </c>
      <c r="AY3" s="84" t="s">
        <v>158</v>
      </c>
      <c r="AZ3"/>
      <c r="BA3" s="84" t="s">
        <v>159</v>
      </c>
      <c r="BB3" s="84"/>
      <c r="BC3" s="84"/>
    </row>
    <row r="4" spans="1:55" s="88" customFormat="1" ht="12.75">
      <c r="A4" s="84"/>
      <c r="B4" s="87" t="s">
        <v>375</v>
      </c>
      <c r="C4" s="87" t="s">
        <v>161</v>
      </c>
      <c r="D4" s="87" t="s">
        <v>166</v>
      </c>
      <c r="E4" s="87" t="s">
        <v>167</v>
      </c>
      <c r="F4" s="87" t="s">
        <v>170</v>
      </c>
      <c r="G4" s="87" t="s">
        <v>171</v>
      </c>
      <c r="H4" s="87" t="s">
        <v>172</v>
      </c>
      <c r="I4" s="87" t="s">
        <v>173</v>
      </c>
      <c r="J4" s="87" t="s">
        <v>174</v>
      </c>
      <c r="K4" s="87" t="s">
        <v>175</v>
      </c>
      <c r="L4" s="87" t="s">
        <v>176</v>
      </c>
      <c r="M4" s="87" t="s">
        <v>177</v>
      </c>
      <c r="N4" s="87" t="s">
        <v>178</v>
      </c>
      <c r="O4" s="87" t="s">
        <v>179</v>
      </c>
      <c r="P4" s="87" t="s">
        <v>180</v>
      </c>
      <c r="Q4" s="87" t="s">
        <v>181</v>
      </c>
      <c r="R4" s="87" t="s">
        <v>182</v>
      </c>
      <c r="S4" s="87" t="s">
        <v>183</v>
      </c>
      <c r="T4" s="87" t="s">
        <v>184</v>
      </c>
      <c r="U4" s="87" t="s">
        <v>185</v>
      </c>
      <c r="V4" s="87" t="s">
        <v>186</v>
      </c>
      <c r="W4" s="87" t="s">
        <v>187</v>
      </c>
      <c r="X4" s="87" t="s">
        <v>517</v>
      </c>
      <c r="Y4" s="87" t="s">
        <v>188</v>
      </c>
      <c r="Z4" s="87" t="s">
        <v>189</v>
      </c>
      <c r="AA4" s="87" t="s">
        <v>190</v>
      </c>
      <c r="AB4" s="87" t="s">
        <v>191</v>
      </c>
      <c r="AC4" s="87" t="s">
        <v>192</v>
      </c>
      <c r="AD4" s="87" t="s">
        <v>193</v>
      </c>
      <c r="AE4" s="87" t="s">
        <v>194</v>
      </c>
      <c r="AF4" s="87" t="s">
        <v>195</v>
      </c>
      <c r="AG4" s="87" t="s">
        <v>196</v>
      </c>
      <c r="AH4" s="87" t="s">
        <v>199</v>
      </c>
      <c r="AI4" s="87" t="s">
        <v>200</v>
      </c>
      <c r="AJ4" s="87" t="s">
        <v>201</v>
      </c>
      <c r="AK4" s="87" t="s">
        <v>202</v>
      </c>
      <c r="AL4" s="87" t="s">
        <v>203</v>
      </c>
      <c r="AM4" s="87" t="s">
        <v>205</v>
      </c>
      <c r="AN4" s="87" t="s">
        <v>206</v>
      </c>
      <c r="AO4" s="87" t="s">
        <v>207</v>
      </c>
      <c r="AP4" s="87" t="s">
        <v>208</v>
      </c>
      <c r="AQ4" s="87" t="s">
        <v>209</v>
      </c>
      <c r="AR4" s="87" t="s">
        <v>210</v>
      </c>
      <c r="AS4" s="87" t="s">
        <v>211</v>
      </c>
      <c r="AT4" s="87" t="s">
        <v>212</v>
      </c>
      <c r="AU4" s="87" t="s">
        <v>213</v>
      </c>
      <c r="AV4" s="87" t="s">
        <v>214</v>
      </c>
      <c r="AW4" s="87" t="s">
        <v>215</v>
      </c>
      <c r="AX4" s="87" t="s">
        <v>216</v>
      </c>
      <c r="AY4" s="87" t="s">
        <v>217</v>
      </c>
      <c r="BB4" s="84"/>
      <c r="BC4" s="84"/>
    </row>
    <row r="5" spans="1:56" ht="12.75">
      <c r="A5" s="90"/>
      <c r="B5" s="91"/>
      <c r="C5" s="91"/>
      <c r="D5" s="96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0"/>
      <c r="BB5" s="90"/>
      <c r="BC5" s="90"/>
      <c r="BD5" s="90"/>
    </row>
    <row r="6" spans="1:56" ht="12.75">
      <c r="A6" s="90"/>
      <c r="B6" s="91"/>
      <c r="C6" s="91"/>
      <c r="D6" s="96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0"/>
      <c r="BB6" s="90"/>
      <c r="BC6" s="90"/>
      <c r="BD6" s="90"/>
    </row>
    <row r="7" spans="1:57" ht="12.75">
      <c r="A7" s="32" t="s">
        <v>327</v>
      </c>
      <c r="B7" s="30"/>
      <c r="C7" s="30"/>
      <c r="D7" s="80"/>
      <c r="E7" s="30"/>
      <c r="F7" s="30"/>
      <c r="G7" s="30"/>
      <c r="H7" s="30"/>
      <c r="I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12.75">
      <c r="A8" s="33" t="s">
        <v>328</v>
      </c>
      <c r="B8" s="31">
        <v>23821784</v>
      </c>
      <c r="C8" s="178">
        <v>8099223</v>
      </c>
      <c r="D8" s="110">
        <v>3267023</v>
      </c>
      <c r="E8" s="110">
        <v>1965305</v>
      </c>
      <c r="F8" s="110">
        <v>3156742.916</v>
      </c>
      <c r="G8" s="31">
        <v>1752592</v>
      </c>
      <c r="H8" s="31">
        <v>1568780</v>
      </c>
      <c r="I8" s="31">
        <v>3356176</v>
      </c>
      <c r="J8" s="31">
        <v>2755569</v>
      </c>
      <c r="K8" s="31">
        <v>1552361</v>
      </c>
      <c r="L8" s="31">
        <v>884694</v>
      </c>
      <c r="M8" s="31">
        <v>817881</v>
      </c>
      <c r="N8" s="31">
        <v>942782</v>
      </c>
      <c r="O8" s="110">
        <v>805562</v>
      </c>
      <c r="P8" s="31">
        <v>523638</v>
      </c>
      <c r="Q8" s="110">
        <v>1291321</v>
      </c>
      <c r="R8" s="110">
        <v>845133</v>
      </c>
      <c r="S8" s="193">
        <v>1442847</v>
      </c>
      <c r="T8" s="110">
        <v>479776</v>
      </c>
      <c r="U8" s="110">
        <v>386721.282</v>
      </c>
      <c r="V8" s="110">
        <f>1114301</f>
        <v>1114301</v>
      </c>
      <c r="W8" s="31">
        <v>501106</v>
      </c>
      <c r="X8" s="110">
        <v>435184</v>
      </c>
      <c r="Y8" s="31">
        <v>832147.368</v>
      </c>
      <c r="Z8" s="31">
        <v>2107836</v>
      </c>
      <c r="AA8" s="31">
        <v>112970</v>
      </c>
      <c r="AB8" s="110">
        <v>351061</v>
      </c>
      <c r="AC8" s="31">
        <v>1163077.937</v>
      </c>
      <c r="AD8" s="110">
        <v>430545</v>
      </c>
      <c r="AE8" s="31">
        <v>-772</v>
      </c>
      <c r="AF8" s="31">
        <v>121997</v>
      </c>
      <c r="AG8" s="110">
        <v>87845</v>
      </c>
      <c r="AH8" s="110">
        <v>0</v>
      </c>
      <c r="AI8" s="110">
        <v>91475</v>
      </c>
      <c r="AJ8" s="110">
        <v>80744</v>
      </c>
      <c r="AK8" s="31">
        <v>80501</v>
      </c>
      <c r="AL8" s="31">
        <v>0</v>
      </c>
      <c r="AM8" s="110">
        <v>11989</v>
      </c>
      <c r="AN8" s="110">
        <v>127811</v>
      </c>
      <c r="AO8" s="110">
        <v>18796</v>
      </c>
      <c r="AP8" s="110">
        <v>0</v>
      </c>
      <c r="AQ8" s="110">
        <v>0</v>
      </c>
      <c r="AR8" s="110">
        <v>33784</v>
      </c>
      <c r="AS8" s="110">
        <v>1135</v>
      </c>
      <c r="AT8" s="110">
        <v>0</v>
      </c>
      <c r="AU8" s="110">
        <v>33871</v>
      </c>
      <c r="AV8" s="110">
        <v>23957</v>
      </c>
      <c r="AW8" s="110">
        <v>130000</v>
      </c>
      <c r="AX8" s="31">
        <v>27062.968</v>
      </c>
      <c r="AY8" s="31">
        <v>0</v>
      </c>
      <c r="AZ8" s="31"/>
      <c r="BA8" s="30">
        <f>SUM(B8:AY8)</f>
        <v>67634335.47099999</v>
      </c>
      <c r="BB8" s="30"/>
      <c r="BC8" s="30"/>
      <c r="BD8" s="30"/>
      <c r="BE8" s="31"/>
    </row>
    <row r="9" spans="1:57" ht="12.75">
      <c r="A9" s="33" t="s">
        <v>329</v>
      </c>
      <c r="B9" s="31">
        <v>4131647</v>
      </c>
      <c r="C9" s="178">
        <v>6725216</v>
      </c>
      <c r="D9" s="110">
        <v>2685886</v>
      </c>
      <c r="E9" s="110">
        <v>2609394</v>
      </c>
      <c r="F9" s="110">
        <v>1630342.506</v>
      </c>
      <c r="G9" s="31">
        <v>205619</v>
      </c>
      <c r="H9" s="31">
        <v>1173645</v>
      </c>
      <c r="I9" s="31">
        <v>348447</v>
      </c>
      <c r="J9" s="31">
        <v>236883</v>
      </c>
      <c r="K9" s="31">
        <v>1106220</v>
      </c>
      <c r="L9" s="31">
        <v>567124</v>
      </c>
      <c r="M9" s="31">
        <v>714434</v>
      </c>
      <c r="N9" s="31">
        <v>108513</v>
      </c>
      <c r="O9" s="110">
        <v>524052</v>
      </c>
      <c r="P9" s="31">
        <v>496919</v>
      </c>
      <c r="Q9" s="110">
        <v>194954</v>
      </c>
      <c r="R9" s="110">
        <v>98059</v>
      </c>
      <c r="S9" s="193">
        <v>437751</v>
      </c>
      <c r="T9" s="110">
        <v>323039</v>
      </c>
      <c r="U9" s="110">
        <v>299471.077</v>
      </c>
      <c r="V9" s="110">
        <f>272104</f>
        <v>272104</v>
      </c>
      <c r="W9" s="31">
        <v>324778</v>
      </c>
      <c r="X9" s="110">
        <v>274343</v>
      </c>
      <c r="Y9" s="31">
        <v>138340.247</v>
      </c>
      <c r="Z9" s="31">
        <v>128978</v>
      </c>
      <c r="AA9" s="31">
        <v>44168</v>
      </c>
      <c r="AB9" s="110">
        <v>254355</v>
      </c>
      <c r="AC9" s="31">
        <v>92418.478</v>
      </c>
      <c r="AD9" s="110">
        <v>34753</v>
      </c>
      <c r="AE9" s="31">
        <v>105538</v>
      </c>
      <c r="AF9" s="31">
        <v>246161</v>
      </c>
      <c r="AG9" s="110">
        <v>6588</v>
      </c>
      <c r="AH9" s="110">
        <v>52614</v>
      </c>
      <c r="AI9" s="110">
        <v>55425</v>
      </c>
      <c r="AJ9" s="110">
        <v>29737</v>
      </c>
      <c r="AK9" s="31">
        <v>53124</v>
      </c>
      <c r="AL9" s="31">
        <v>21986.609</v>
      </c>
      <c r="AM9" s="110">
        <v>29814</v>
      </c>
      <c r="AN9" s="110">
        <v>67680</v>
      </c>
      <c r="AO9" s="110">
        <v>47652</v>
      </c>
      <c r="AP9" s="110">
        <v>24958</v>
      </c>
      <c r="AQ9" s="110">
        <v>23560</v>
      </c>
      <c r="AR9" s="110">
        <v>24575</v>
      </c>
      <c r="AS9" s="110">
        <v>15473</v>
      </c>
      <c r="AT9" s="110">
        <v>39021.522</v>
      </c>
      <c r="AU9" s="110">
        <v>17262</v>
      </c>
      <c r="AV9" s="110">
        <v>3222</v>
      </c>
      <c r="AW9" s="110">
        <v>4375</v>
      </c>
      <c r="AX9" s="31">
        <v>2662.167</v>
      </c>
      <c r="AY9" s="31">
        <v>48</v>
      </c>
      <c r="AZ9" s="31"/>
      <c r="BA9" s="30">
        <f aca="true" t="shared" si="0" ref="BA9:BA44">SUM(B9:AY9)</f>
        <v>27053329.606000002</v>
      </c>
      <c r="BB9" s="30"/>
      <c r="BC9" s="30"/>
      <c r="BD9" s="30"/>
      <c r="BE9" s="31"/>
    </row>
    <row r="10" spans="1:57" ht="12.75">
      <c r="A10" s="33" t="s">
        <v>330</v>
      </c>
      <c r="B10" s="31">
        <v>0</v>
      </c>
      <c r="C10" s="178">
        <v>0</v>
      </c>
      <c r="D10" s="110">
        <v>22262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31">
        <v>0</v>
      </c>
      <c r="N10" s="31">
        <v>0</v>
      </c>
      <c r="O10" s="110">
        <v>0</v>
      </c>
      <c r="P10" s="31">
        <v>0</v>
      </c>
      <c r="Q10" s="110">
        <v>2866</v>
      </c>
      <c r="R10" s="110">
        <v>4818</v>
      </c>
      <c r="S10" s="193">
        <v>0</v>
      </c>
      <c r="T10" s="110">
        <v>0</v>
      </c>
      <c r="U10" s="110">
        <v>58887.676</v>
      </c>
      <c r="V10" s="110">
        <v>0</v>
      </c>
      <c r="W10" s="31">
        <v>0</v>
      </c>
      <c r="X10" s="110">
        <v>0</v>
      </c>
      <c r="Y10" s="31">
        <v>0</v>
      </c>
      <c r="Z10" s="31">
        <v>0</v>
      </c>
      <c r="AA10" s="31">
        <v>0</v>
      </c>
      <c r="AB10" s="110">
        <v>0</v>
      </c>
      <c r="AC10" s="31">
        <v>55.836</v>
      </c>
      <c r="AD10" s="110">
        <v>0</v>
      </c>
      <c r="AE10" s="31">
        <v>0</v>
      </c>
      <c r="AF10" s="31">
        <v>654</v>
      </c>
      <c r="AG10" s="110">
        <v>796</v>
      </c>
      <c r="AH10" s="110">
        <v>0</v>
      </c>
      <c r="AI10" s="110">
        <v>7978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0">
        <v>0</v>
      </c>
      <c r="AX10" s="31">
        <v>0</v>
      </c>
      <c r="AY10" s="31">
        <v>0</v>
      </c>
      <c r="AZ10" s="31"/>
      <c r="BA10" s="30">
        <f t="shared" si="0"/>
        <v>98317.512</v>
      </c>
      <c r="BB10" s="30"/>
      <c r="BC10" s="30"/>
      <c r="BD10" s="30"/>
      <c r="BE10" s="31"/>
    </row>
    <row r="11" spans="1:57" ht="12.75">
      <c r="A11" s="33" t="s">
        <v>331</v>
      </c>
      <c r="B11" s="31">
        <v>8358999</v>
      </c>
      <c r="C11" s="178">
        <v>4819190</v>
      </c>
      <c r="D11" s="110">
        <v>3542796.78</v>
      </c>
      <c r="E11" s="110">
        <v>3690929</v>
      </c>
      <c r="F11" s="110">
        <v>3941167.629</v>
      </c>
      <c r="G11" s="31">
        <v>1665321</v>
      </c>
      <c r="H11" s="31">
        <v>1369295</v>
      </c>
      <c r="I11" s="31">
        <v>318529</v>
      </c>
      <c r="J11" s="31">
        <v>822370</v>
      </c>
      <c r="K11" s="31">
        <v>1202794</v>
      </c>
      <c r="L11" s="31">
        <v>818708</v>
      </c>
      <c r="M11" s="31">
        <v>1843148</v>
      </c>
      <c r="N11" s="31">
        <v>901523</v>
      </c>
      <c r="O11" s="110">
        <v>557277</v>
      </c>
      <c r="P11" s="31">
        <v>1162909</v>
      </c>
      <c r="Q11" s="110">
        <v>506236</v>
      </c>
      <c r="R11" s="110">
        <v>664514</v>
      </c>
      <c r="S11" s="193">
        <v>935218</v>
      </c>
      <c r="T11" s="110">
        <v>676638</v>
      </c>
      <c r="U11" s="110">
        <v>581540.827</v>
      </c>
      <c r="V11" s="110">
        <f>440393</f>
        <v>440393</v>
      </c>
      <c r="W11" s="31">
        <v>804298</v>
      </c>
      <c r="X11" s="110">
        <v>258994</v>
      </c>
      <c r="Y11" s="31">
        <v>0</v>
      </c>
      <c r="Z11" s="31">
        <v>185161</v>
      </c>
      <c r="AA11" s="31">
        <v>422511</v>
      </c>
      <c r="AB11" s="110">
        <v>273173</v>
      </c>
      <c r="AC11" s="31">
        <v>0</v>
      </c>
      <c r="AD11" s="110">
        <v>28230</v>
      </c>
      <c r="AE11" s="31">
        <v>297361</v>
      </c>
      <c r="AF11" s="31">
        <v>196278</v>
      </c>
      <c r="AG11" s="110">
        <v>80097</v>
      </c>
      <c r="AH11" s="110">
        <v>52618</v>
      </c>
      <c r="AI11" s="110">
        <v>114369</v>
      </c>
      <c r="AJ11" s="110">
        <v>25922</v>
      </c>
      <c r="AK11" s="31">
        <v>105224</v>
      </c>
      <c r="AL11" s="31">
        <v>84097.558</v>
      </c>
      <c r="AM11" s="110">
        <v>62276</v>
      </c>
      <c r="AN11" s="110">
        <v>67497</v>
      </c>
      <c r="AO11" s="110">
        <v>36928</v>
      </c>
      <c r="AP11" s="110">
        <v>21702</v>
      </c>
      <c r="AQ11" s="110">
        <v>61012</v>
      </c>
      <c r="AR11" s="110">
        <v>23399</v>
      </c>
      <c r="AS11" s="110">
        <v>13371</v>
      </c>
      <c r="AT11" s="110">
        <v>24378.385</v>
      </c>
      <c r="AU11" s="110">
        <v>67365</v>
      </c>
      <c r="AV11" s="110">
        <v>10955</v>
      </c>
      <c r="AW11" s="110">
        <v>12915</v>
      </c>
      <c r="AX11" s="31">
        <v>2944.708</v>
      </c>
      <c r="AY11" s="31">
        <v>0</v>
      </c>
      <c r="AZ11" s="31"/>
      <c r="BA11" s="30">
        <f t="shared" si="0"/>
        <v>42152572.886999995</v>
      </c>
      <c r="BB11" s="30"/>
      <c r="BC11" s="30"/>
      <c r="BD11" s="30"/>
      <c r="BE11" s="31"/>
    </row>
    <row r="12" spans="1:57" ht="12.75">
      <c r="A12" s="33" t="s">
        <v>332</v>
      </c>
      <c r="B12" s="31">
        <v>30111734</v>
      </c>
      <c r="C12" s="178">
        <v>7800725</v>
      </c>
      <c r="D12" s="110">
        <v>4519560</v>
      </c>
      <c r="E12" s="110">
        <v>7133647</v>
      </c>
      <c r="F12" s="110">
        <v>6464365.313</v>
      </c>
      <c r="G12" s="31">
        <v>5817452</v>
      </c>
      <c r="H12" s="31">
        <v>432878</v>
      </c>
      <c r="I12" s="31">
        <v>4815044</v>
      </c>
      <c r="J12" s="31">
        <v>10055818</v>
      </c>
      <c r="K12" s="31">
        <v>1844325</v>
      </c>
      <c r="L12" s="31">
        <v>6254296</v>
      </c>
      <c r="M12" s="31">
        <v>3110129</v>
      </c>
      <c r="N12" s="31">
        <v>3841523</v>
      </c>
      <c r="O12" s="110">
        <v>811696</v>
      </c>
      <c r="P12" s="31">
        <v>1215213</v>
      </c>
      <c r="Q12" s="110">
        <v>582619</v>
      </c>
      <c r="R12" s="110">
        <v>5575679</v>
      </c>
      <c r="S12" s="193">
        <v>3148347</v>
      </c>
      <c r="T12" s="110">
        <v>1351368</v>
      </c>
      <c r="U12" s="110">
        <v>5004967.152</v>
      </c>
      <c r="V12" s="110">
        <f>359884</f>
        <v>359884</v>
      </c>
      <c r="W12" s="31">
        <v>961833</v>
      </c>
      <c r="X12" s="110">
        <v>4131246</v>
      </c>
      <c r="Y12" s="31">
        <v>18582.574999999997</v>
      </c>
      <c r="Z12" s="31">
        <v>2373694</v>
      </c>
      <c r="AA12" s="31">
        <v>323949</v>
      </c>
      <c r="AB12" s="110">
        <v>872158</v>
      </c>
      <c r="AC12" s="31">
        <v>1126012.436</v>
      </c>
      <c r="AD12" s="110">
        <v>121968</v>
      </c>
      <c r="AE12" s="31">
        <v>230495</v>
      </c>
      <c r="AF12" s="31">
        <v>0</v>
      </c>
      <c r="AG12" s="110">
        <v>845014</v>
      </c>
      <c r="AH12" s="110">
        <v>1910341</v>
      </c>
      <c r="AI12" s="110">
        <v>198359</v>
      </c>
      <c r="AJ12" s="110">
        <v>766925</v>
      </c>
      <c r="AK12" s="31">
        <v>0</v>
      </c>
      <c r="AL12" s="31">
        <v>193040.811</v>
      </c>
      <c r="AM12" s="110">
        <v>409213</v>
      </c>
      <c r="AN12" s="110">
        <v>196430</v>
      </c>
      <c r="AO12" s="110">
        <v>367544</v>
      </c>
      <c r="AP12" s="110">
        <v>238515</v>
      </c>
      <c r="AQ12" s="110">
        <v>0</v>
      </c>
      <c r="AR12" s="110">
        <v>204762</v>
      </c>
      <c r="AS12" s="110">
        <v>282749</v>
      </c>
      <c r="AT12" s="110">
        <v>0</v>
      </c>
      <c r="AU12" s="110">
        <v>77344</v>
      </c>
      <c r="AV12" s="110">
        <v>31091</v>
      </c>
      <c r="AW12" s="110">
        <v>0</v>
      </c>
      <c r="AX12" s="110">
        <v>0</v>
      </c>
      <c r="AY12" s="31">
        <v>0</v>
      </c>
      <c r="AZ12" s="31"/>
      <c r="BA12" s="30">
        <f t="shared" si="0"/>
        <v>126132535.287</v>
      </c>
      <c r="BB12" s="30"/>
      <c r="BC12" s="30"/>
      <c r="BD12" s="30"/>
      <c r="BE12" s="31"/>
    </row>
    <row r="13" spans="1:57" ht="12.75">
      <c r="A13" s="33" t="s">
        <v>333</v>
      </c>
      <c r="B13" s="31">
        <v>7723240</v>
      </c>
      <c r="C13" s="178">
        <v>4791839</v>
      </c>
      <c r="D13" s="110">
        <v>2781653</v>
      </c>
      <c r="E13" s="110">
        <v>526187</v>
      </c>
      <c r="F13" s="110">
        <v>3367763.007</v>
      </c>
      <c r="G13" s="31">
        <v>2702510</v>
      </c>
      <c r="H13" s="31">
        <v>503969</v>
      </c>
      <c r="I13" s="31">
        <v>0</v>
      </c>
      <c r="J13" s="31">
        <v>7425678</v>
      </c>
      <c r="K13" s="31">
        <v>993200</v>
      </c>
      <c r="L13" s="31">
        <v>155667</v>
      </c>
      <c r="M13" s="31">
        <v>0</v>
      </c>
      <c r="N13" s="31">
        <v>2071216</v>
      </c>
      <c r="O13" s="110">
        <v>0</v>
      </c>
      <c r="P13" s="31">
        <v>906163</v>
      </c>
      <c r="Q13" s="110">
        <v>0</v>
      </c>
      <c r="R13" s="110">
        <v>487</v>
      </c>
      <c r="S13" s="193">
        <v>571824</v>
      </c>
      <c r="T13" s="110">
        <v>445333</v>
      </c>
      <c r="U13" s="110">
        <v>1127064.532</v>
      </c>
      <c r="V13" s="110">
        <v>1233</v>
      </c>
      <c r="W13" s="31">
        <v>29145</v>
      </c>
      <c r="X13" s="110">
        <v>142649</v>
      </c>
      <c r="Y13" s="31">
        <v>3549953.784</v>
      </c>
      <c r="Z13" s="31">
        <v>435959</v>
      </c>
      <c r="AA13" s="31">
        <v>446250</v>
      </c>
      <c r="AB13" s="110">
        <v>739628</v>
      </c>
      <c r="AC13" s="31">
        <v>0</v>
      </c>
      <c r="AD13" s="110">
        <v>0</v>
      </c>
      <c r="AE13" s="31">
        <v>46157</v>
      </c>
      <c r="AF13" s="31">
        <v>0</v>
      </c>
      <c r="AG13" s="110">
        <v>10000</v>
      </c>
      <c r="AH13" s="110">
        <v>26590</v>
      </c>
      <c r="AI13" s="110">
        <v>12750</v>
      </c>
      <c r="AJ13" s="110">
        <v>0</v>
      </c>
      <c r="AK13" s="31">
        <v>0</v>
      </c>
      <c r="AL13" s="31">
        <v>269888.332</v>
      </c>
      <c r="AM13" s="110">
        <v>53786</v>
      </c>
      <c r="AN13" s="110">
        <v>92811</v>
      </c>
      <c r="AO13" s="110">
        <v>3786</v>
      </c>
      <c r="AP13" s="110">
        <v>13417</v>
      </c>
      <c r="AQ13" s="110">
        <v>10965</v>
      </c>
      <c r="AR13" s="110">
        <v>71080</v>
      </c>
      <c r="AS13" s="110">
        <v>0</v>
      </c>
      <c r="AT13" s="110">
        <v>0</v>
      </c>
      <c r="AU13" s="110">
        <v>180</v>
      </c>
      <c r="AV13" s="110">
        <v>6453</v>
      </c>
      <c r="AW13" s="110">
        <v>0</v>
      </c>
      <c r="AX13" s="110">
        <v>0</v>
      </c>
      <c r="AY13" s="31">
        <v>0</v>
      </c>
      <c r="AZ13" s="31"/>
      <c r="BA13" s="30">
        <f t="shared" si="0"/>
        <v>42056474.655</v>
      </c>
      <c r="BB13" s="30"/>
      <c r="BC13" s="30"/>
      <c r="BD13" s="30"/>
      <c r="BE13" s="31"/>
    </row>
    <row r="14" spans="1:57" ht="12.75">
      <c r="A14" s="33" t="s">
        <v>334</v>
      </c>
      <c r="B14" s="31">
        <v>127181</v>
      </c>
      <c r="C14" s="178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31">
        <v>1102</v>
      </c>
      <c r="J14" s="31">
        <v>0</v>
      </c>
      <c r="K14" s="31">
        <v>0</v>
      </c>
      <c r="L14" s="31">
        <v>0</v>
      </c>
      <c r="M14" s="31">
        <v>60471</v>
      </c>
      <c r="N14" s="31">
        <v>0</v>
      </c>
      <c r="O14" s="110">
        <v>0</v>
      </c>
      <c r="P14" s="31">
        <v>0</v>
      </c>
      <c r="Q14" s="110">
        <v>0</v>
      </c>
      <c r="R14" s="110">
        <v>103850</v>
      </c>
      <c r="S14" s="193">
        <v>35926</v>
      </c>
      <c r="T14" s="110">
        <v>129410</v>
      </c>
      <c r="U14" s="110">
        <v>0</v>
      </c>
      <c r="V14" s="110">
        <v>0</v>
      </c>
      <c r="W14" s="31">
        <v>0</v>
      </c>
      <c r="X14" s="110">
        <v>0</v>
      </c>
      <c r="Y14" s="31">
        <v>272042.079</v>
      </c>
      <c r="Z14" s="31">
        <v>0</v>
      </c>
      <c r="AA14" s="31">
        <v>0</v>
      </c>
      <c r="AB14" s="110">
        <v>82885</v>
      </c>
      <c r="AC14" s="31">
        <v>0</v>
      </c>
      <c r="AD14" s="110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9497</v>
      </c>
      <c r="AV14" s="110">
        <v>2291</v>
      </c>
      <c r="AW14" s="110">
        <v>0</v>
      </c>
      <c r="AX14" s="110">
        <v>0</v>
      </c>
      <c r="AY14" s="31">
        <v>0</v>
      </c>
      <c r="AZ14" s="31"/>
      <c r="BA14" s="30">
        <f t="shared" si="0"/>
        <v>824655.079</v>
      </c>
      <c r="BB14" s="30"/>
      <c r="BC14" s="30"/>
      <c r="BD14" s="30"/>
      <c r="BE14" s="31"/>
    </row>
    <row r="15" spans="1:57" ht="12.75">
      <c r="A15" s="33" t="s">
        <v>335</v>
      </c>
      <c r="B15" s="31">
        <v>0</v>
      </c>
      <c r="C15" s="178">
        <v>0</v>
      </c>
      <c r="D15" s="110">
        <v>0</v>
      </c>
      <c r="E15" s="110">
        <v>1550</v>
      </c>
      <c r="F15" s="110">
        <v>0</v>
      </c>
      <c r="G15" s="110">
        <v>0</v>
      </c>
      <c r="H15" s="110">
        <v>0</v>
      </c>
      <c r="I15" s="31">
        <v>0</v>
      </c>
      <c r="J15" s="31">
        <v>0</v>
      </c>
      <c r="K15" s="31">
        <v>68146</v>
      </c>
      <c r="L15" s="31">
        <v>0</v>
      </c>
      <c r="M15" s="31">
        <v>0</v>
      </c>
      <c r="N15" s="31">
        <v>4550</v>
      </c>
      <c r="O15" s="110">
        <v>0</v>
      </c>
      <c r="P15" s="31">
        <v>1800</v>
      </c>
      <c r="Q15" s="110">
        <v>0</v>
      </c>
      <c r="R15" s="110">
        <v>7923</v>
      </c>
      <c r="S15" s="193">
        <v>0</v>
      </c>
      <c r="T15" s="110">
        <v>0</v>
      </c>
      <c r="U15" s="110">
        <v>0</v>
      </c>
      <c r="V15" s="110">
        <v>0</v>
      </c>
      <c r="W15" s="31">
        <v>0</v>
      </c>
      <c r="X15" s="110">
        <v>0</v>
      </c>
      <c r="Y15" s="31">
        <v>0</v>
      </c>
      <c r="Z15" s="31">
        <v>0</v>
      </c>
      <c r="AA15" s="31">
        <v>0</v>
      </c>
      <c r="AB15" s="110">
        <v>0</v>
      </c>
      <c r="AC15" s="31">
        <v>0</v>
      </c>
      <c r="AD15" s="110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110">
        <v>0</v>
      </c>
      <c r="AO15" s="110">
        <v>0</v>
      </c>
      <c r="AP15" s="110">
        <v>0</v>
      </c>
      <c r="AQ15" s="110">
        <v>10332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31">
        <v>0</v>
      </c>
      <c r="AZ15" s="31"/>
      <c r="BA15" s="30">
        <f t="shared" si="0"/>
        <v>94301</v>
      </c>
      <c r="BB15" s="30"/>
      <c r="BC15" s="30"/>
      <c r="BD15" s="30"/>
      <c r="BE15" s="31"/>
    </row>
    <row r="16" spans="1:57" ht="12.75">
      <c r="A16" s="33" t="s">
        <v>336</v>
      </c>
      <c r="B16" s="31">
        <v>0</v>
      </c>
      <c r="C16" s="178">
        <v>140059</v>
      </c>
      <c r="D16" s="110">
        <v>15195</v>
      </c>
      <c r="E16" s="110">
        <v>0</v>
      </c>
      <c r="F16" s="110">
        <v>857908</v>
      </c>
      <c r="G16" s="31">
        <v>761231</v>
      </c>
      <c r="H16" s="31">
        <v>0</v>
      </c>
      <c r="I16" s="31">
        <v>13287</v>
      </c>
      <c r="J16" s="31">
        <v>0</v>
      </c>
      <c r="K16" s="31">
        <v>36375</v>
      </c>
      <c r="L16" s="31">
        <v>0</v>
      </c>
      <c r="M16" s="31">
        <v>21798</v>
      </c>
      <c r="N16" s="31">
        <v>0</v>
      </c>
      <c r="O16" s="110">
        <v>2849</v>
      </c>
      <c r="P16" s="31">
        <v>0</v>
      </c>
      <c r="Q16" s="110">
        <v>4075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31">
        <v>895</v>
      </c>
      <c r="X16" s="110">
        <v>0</v>
      </c>
      <c r="Y16" s="31">
        <v>0</v>
      </c>
      <c r="Z16" s="31">
        <v>4953</v>
      </c>
      <c r="AA16" s="31">
        <v>1792</v>
      </c>
      <c r="AB16" s="110">
        <v>0</v>
      </c>
      <c r="AC16" s="31">
        <v>0</v>
      </c>
      <c r="AD16" s="110">
        <v>0</v>
      </c>
      <c r="AE16" s="31">
        <v>159</v>
      </c>
      <c r="AF16" s="31">
        <v>445</v>
      </c>
      <c r="AG16" s="31">
        <v>0</v>
      </c>
      <c r="AH16" s="31">
        <v>0</v>
      </c>
      <c r="AI16" s="110">
        <v>144</v>
      </c>
      <c r="AJ16" s="31">
        <v>19609</v>
      </c>
      <c r="AK16" s="31">
        <v>0</v>
      </c>
      <c r="AL16" s="31">
        <v>70.974</v>
      </c>
      <c r="AM16" s="31">
        <v>0</v>
      </c>
      <c r="AN16" s="110">
        <v>0</v>
      </c>
      <c r="AO16" s="110">
        <v>0</v>
      </c>
      <c r="AP16" s="110">
        <v>22</v>
      </c>
      <c r="AQ16" s="110">
        <v>939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31">
        <v>25610.682</v>
      </c>
      <c r="AY16" s="31">
        <v>0</v>
      </c>
      <c r="AZ16" s="31"/>
      <c r="BA16" s="30">
        <f t="shared" si="0"/>
        <v>1907416.656</v>
      </c>
      <c r="BB16" s="30"/>
      <c r="BC16" s="30"/>
      <c r="BD16" s="30"/>
      <c r="BE16" s="31"/>
    </row>
    <row r="17" spans="1:57" ht="12.75">
      <c r="A17" s="285" t="s">
        <v>337</v>
      </c>
      <c r="B17" s="30">
        <f>SUM(B8:B16)</f>
        <v>74274585</v>
      </c>
      <c r="C17" s="30">
        <f aca="true" t="shared" si="1" ref="C17:AY17">SUM(C8:C16)</f>
        <v>32376252</v>
      </c>
      <c r="D17" s="30">
        <f t="shared" si="1"/>
        <v>16834375.78</v>
      </c>
      <c r="E17" s="30">
        <f t="shared" si="1"/>
        <v>15927012</v>
      </c>
      <c r="F17" s="30">
        <f t="shared" si="1"/>
        <v>19418289.371</v>
      </c>
      <c r="G17" s="30">
        <f t="shared" si="1"/>
        <v>12904725</v>
      </c>
      <c r="H17" s="30">
        <f t="shared" si="1"/>
        <v>5048567</v>
      </c>
      <c r="I17" s="30">
        <f t="shared" si="1"/>
        <v>8852585</v>
      </c>
      <c r="J17" s="30">
        <f t="shared" si="1"/>
        <v>21296318</v>
      </c>
      <c r="K17" s="30">
        <f t="shared" si="1"/>
        <v>6803421</v>
      </c>
      <c r="L17" s="30">
        <f t="shared" si="1"/>
        <v>8680489</v>
      </c>
      <c r="M17" s="30">
        <f t="shared" si="1"/>
        <v>6567861</v>
      </c>
      <c r="N17" s="30">
        <f t="shared" si="1"/>
        <v>7870107</v>
      </c>
      <c r="O17" s="30">
        <f t="shared" si="1"/>
        <v>2701436</v>
      </c>
      <c r="P17" s="30">
        <f t="shared" si="1"/>
        <v>4306642</v>
      </c>
      <c r="Q17" s="30">
        <f t="shared" si="1"/>
        <v>2582071</v>
      </c>
      <c r="R17" s="30">
        <f t="shared" si="1"/>
        <v>7300463</v>
      </c>
      <c r="S17" s="30">
        <f t="shared" si="1"/>
        <v>6571913</v>
      </c>
      <c r="T17" s="30">
        <f t="shared" si="1"/>
        <v>3405564</v>
      </c>
      <c r="U17" s="30">
        <f t="shared" si="1"/>
        <v>7458652.545999999</v>
      </c>
      <c r="V17" s="30">
        <f>SUM(V8:V16)</f>
        <v>2187915</v>
      </c>
      <c r="W17" s="30">
        <f t="shared" si="1"/>
        <v>2622055</v>
      </c>
      <c r="X17" s="30">
        <f t="shared" si="1"/>
        <v>5242416</v>
      </c>
      <c r="Y17" s="30">
        <f t="shared" si="1"/>
        <v>4811066.052999999</v>
      </c>
      <c r="Z17" s="30">
        <f t="shared" si="1"/>
        <v>5236581</v>
      </c>
      <c r="AA17" s="30">
        <f t="shared" si="1"/>
        <v>1351640</v>
      </c>
      <c r="AB17" s="30">
        <f t="shared" si="1"/>
        <v>2573260</v>
      </c>
      <c r="AC17" s="30">
        <f t="shared" si="1"/>
        <v>2381564.687</v>
      </c>
      <c r="AD17" s="30">
        <f t="shared" si="1"/>
        <v>615496</v>
      </c>
      <c r="AE17" s="30">
        <f t="shared" si="1"/>
        <v>678938</v>
      </c>
      <c r="AF17" s="30">
        <f t="shared" si="1"/>
        <v>565535</v>
      </c>
      <c r="AG17" s="30">
        <f t="shared" si="1"/>
        <v>1030340</v>
      </c>
      <c r="AH17" s="30">
        <f t="shared" si="1"/>
        <v>2042163</v>
      </c>
      <c r="AI17" s="30">
        <f t="shared" si="1"/>
        <v>480500</v>
      </c>
      <c r="AJ17" s="30">
        <f t="shared" si="1"/>
        <v>922937</v>
      </c>
      <c r="AK17" s="30">
        <f t="shared" si="1"/>
        <v>238849</v>
      </c>
      <c r="AL17" s="30">
        <f t="shared" si="1"/>
        <v>569084.2840000001</v>
      </c>
      <c r="AM17" s="30">
        <f t="shared" si="1"/>
        <v>567078</v>
      </c>
      <c r="AN17" s="30">
        <f t="shared" si="1"/>
        <v>552229</v>
      </c>
      <c r="AO17" s="30">
        <f t="shared" si="1"/>
        <v>474706</v>
      </c>
      <c r="AP17" s="30">
        <f t="shared" si="1"/>
        <v>298614</v>
      </c>
      <c r="AQ17" s="30">
        <f t="shared" si="1"/>
        <v>106808</v>
      </c>
      <c r="AR17" s="30">
        <f t="shared" si="1"/>
        <v>357600</v>
      </c>
      <c r="AS17" s="30">
        <f t="shared" si="1"/>
        <v>312728</v>
      </c>
      <c r="AT17" s="30">
        <f t="shared" si="1"/>
        <v>63399.90699999999</v>
      </c>
      <c r="AU17" s="30">
        <f t="shared" si="1"/>
        <v>205519</v>
      </c>
      <c r="AV17" s="30">
        <f t="shared" si="1"/>
        <v>77969</v>
      </c>
      <c r="AW17" s="30">
        <f t="shared" si="1"/>
        <v>147290</v>
      </c>
      <c r="AX17" s="30">
        <f t="shared" si="1"/>
        <v>58280.525</v>
      </c>
      <c r="AY17" s="30">
        <f t="shared" si="1"/>
        <v>48</v>
      </c>
      <c r="AZ17" s="30"/>
      <c r="BA17" s="30">
        <f t="shared" si="0"/>
        <v>307953938.1529999</v>
      </c>
      <c r="BB17" s="30"/>
      <c r="BC17" s="30"/>
      <c r="BD17" s="30"/>
      <c r="BE17" s="31"/>
    </row>
    <row r="18" spans="1:57" ht="8.25" customHeight="1">
      <c r="A18" s="30"/>
      <c r="C18" s="178"/>
      <c r="D18" s="34"/>
      <c r="E18" s="34"/>
      <c r="F18" s="34"/>
      <c r="O18" s="42"/>
      <c r="Q18" s="34"/>
      <c r="R18" s="34"/>
      <c r="S18" s="193"/>
      <c r="T18" s="34"/>
      <c r="U18" s="34"/>
      <c r="V18" s="34"/>
      <c r="X18" s="34"/>
      <c r="AB18" s="34"/>
      <c r="AD18" s="42"/>
      <c r="AG18" s="34"/>
      <c r="AH18" s="34"/>
      <c r="AI18" s="34"/>
      <c r="AJ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BA18" s="30"/>
      <c r="BB18" s="30"/>
      <c r="BC18" s="30"/>
      <c r="BD18" s="30"/>
      <c r="BE18" s="31"/>
    </row>
    <row r="19" spans="1:57" ht="12.75">
      <c r="A19" s="32" t="s">
        <v>338</v>
      </c>
      <c r="B19" s="31"/>
      <c r="C19" s="179"/>
      <c r="D19" s="110"/>
      <c r="E19" s="110"/>
      <c r="F19" s="110"/>
      <c r="G19" s="31"/>
      <c r="H19" s="31"/>
      <c r="I19" s="31"/>
      <c r="J19" s="31"/>
      <c r="K19" s="31"/>
      <c r="L19" s="31"/>
      <c r="M19" s="31"/>
      <c r="N19" s="31"/>
      <c r="O19" s="110"/>
      <c r="P19" s="31"/>
      <c r="Q19" s="110"/>
      <c r="R19" s="110"/>
      <c r="S19" s="94"/>
      <c r="T19" s="110"/>
      <c r="U19" s="110"/>
      <c r="V19" s="110"/>
      <c r="W19" s="31"/>
      <c r="X19" s="110"/>
      <c r="Y19" s="31"/>
      <c r="Z19" s="31"/>
      <c r="AA19" s="31"/>
      <c r="AB19" s="110"/>
      <c r="AC19" s="31"/>
      <c r="AD19" s="110"/>
      <c r="AE19" s="31"/>
      <c r="AF19" s="31"/>
      <c r="AG19" s="110"/>
      <c r="AH19" s="110"/>
      <c r="AI19" s="110"/>
      <c r="AJ19" s="110"/>
      <c r="AK19" s="31"/>
      <c r="AL19" s="31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31"/>
      <c r="AY19" s="31"/>
      <c r="AZ19" s="31"/>
      <c r="BA19" s="30"/>
      <c r="BB19" s="30"/>
      <c r="BC19" s="30"/>
      <c r="BD19" s="30"/>
      <c r="BE19" s="31"/>
    </row>
    <row r="20" spans="1:57" ht="12.75">
      <c r="A20" s="33" t="s">
        <v>280</v>
      </c>
      <c r="B20" s="31">
        <v>10396716</v>
      </c>
      <c r="C20" s="178">
        <v>2349915</v>
      </c>
      <c r="D20" s="110">
        <v>2096621.39</v>
      </c>
      <c r="E20" s="110">
        <v>1284851</v>
      </c>
      <c r="F20" s="110">
        <v>1584283</v>
      </c>
      <c r="G20" s="31">
        <v>1048094</v>
      </c>
      <c r="H20" s="31">
        <v>309505</v>
      </c>
      <c r="I20" s="31">
        <v>189899</v>
      </c>
      <c r="J20" s="31">
        <v>299409</v>
      </c>
      <c r="K20" s="31">
        <v>274376</v>
      </c>
      <c r="L20" s="31">
        <v>644104</v>
      </c>
      <c r="M20" s="31">
        <v>833978</v>
      </c>
      <c r="N20" s="31">
        <v>436836</v>
      </c>
      <c r="O20" s="110">
        <v>329997</v>
      </c>
      <c r="P20" s="31">
        <v>365640</v>
      </c>
      <c r="Q20" s="110">
        <v>147235</v>
      </c>
      <c r="R20" s="110">
        <v>504348</v>
      </c>
      <c r="S20" s="194">
        <v>643882</v>
      </c>
      <c r="T20" s="110">
        <v>313770</v>
      </c>
      <c r="U20" s="110">
        <v>651220.053</v>
      </c>
      <c r="V20" s="110">
        <v>1240770</v>
      </c>
      <c r="W20" s="31">
        <v>303442</v>
      </c>
      <c r="X20" s="110">
        <v>284813</v>
      </c>
      <c r="Y20" s="31">
        <v>87383.949</v>
      </c>
      <c r="Z20" s="31">
        <v>38283</v>
      </c>
      <c r="AA20" s="31">
        <v>253912</v>
      </c>
      <c r="AB20" s="110">
        <v>189592</v>
      </c>
      <c r="AC20" s="31">
        <v>42555.056000000004</v>
      </c>
      <c r="AD20" s="110">
        <v>85241</v>
      </c>
      <c r="AE20" s="31">
        <v>150496</v>
      </c>
      <c r="AF20" s="31">
        <v>67637</v>
      </c>
      <c r="AG20" s="110">
        <v>58349</v>
      </c>
      <c r="AH20" s="110">
        <v>96112</v>
      </c>
      <c r="AI20" s="110">
        <v>88999</v>
      </c>
      <c r="AJ20" s="110">
        <v>33429</v>
      </c>
      <c r="AK20" s="31">
        <v>57937</v>
      </c>
      <c r="AL20" s="31">
        <v>51822.897</v>
      </c>
      <c r="AM20" s="110">
        <v>74959</v>
      </c>
      <c r="AN20" s="110">
        <v>170785</v>
      </c>
      <c r="AO20" s="110">
        <v>57251</v>
      </c>
      <c r="AP20" s="110">
        <v>37648</v>
      </c>
      <c r="AQ20" s="110">
        <v>39727</v>
      </c>
      <c r="AR20" s="110">
        <v>21697</v>
      </c>
      <c r="AS20" s="110">
        <v>38757</v>
      </c>
      <c r="AT20" s="110">
        <v>38358.02</v>
      </c>
      <c r="AU20" s="110">
        <v>35489</v>
      </c>
      <c r="AV20" s="110">
        <v>24558</v>
      </c>
      <c r="AW20" s="110">
        <v>140115</v>
      </c>
      <c r="AX20" s="31">
        <v>52654.956</v>
      </c>
      <c r="AY20" s="31">
        <v>942</v>
      </c>
      <c r="AZ20" s="31"/>
      <c r="BA20" s="30">
        <f t="shared" si="0"/>
        <v>28568394.321000002</v>
      </c>
      <c r="BB20" s="30"/>
      <c r="BC20" s="30"/>
      <c r="BD20" s="30"/>
      <c r="BE20" s="31"/>
    </row>
    <row r="21" spans="1:57" ht="12.75">
      <c r="A21" s="33" t="s">
        <v>339</v>
      </c>
      <c r="B21" s="31">
        <v>133884</v>
      </c>
      <c r="C21" s="178">
        <v>120975</v>
      </c>
      <c r="D21" s="110">
        <v>49701.3</v>
      </c>
      <c r="E21" s="110">
        <v>28747</v>
      </c>
      <c r="F21" s="110">
        <v>113145.646</v>
      </c>
      <c r="G21" s="31">
        <v>24350</v>
      </c>
      <c r="H21" s="31">
        <v>23132</v>
      </c>
      <c r="I21" s="31">
        <v>201</v>
      </c>
      <c r="J21" s="31">
        <v>61528</v>
      </c>
      <c r="K21" s="31">
        <v>34917</v>
      </c>
      <c r="L21" s="31">
        <v>7122</v>
      </c>
      <c r="M21" s="31">
        <v>24334</v>
      </c>
      <c r="N21" s="31">
        <v>10273</v>
      </c>
      <c r="O21" s="110">
        <v>7134</v>
      </c>
      <c r="P21" s="31">
        <v>19077</v>
      </c>
      <c r="Q21" s="110">
        <v>22934</v>
      </c>
      <c r="R21" s="110">
        <v>-217</v>
      </c>
      <c r="S21" s="194">
        <v>13229</v>
      </c>
      <c r="T21" s="110">
        <v>13782</v>
      </c>
      <c r="U21" s="110">
        <v>17874.895</v>
      </c>
      <c r="V21" s="110">
        <v>0</v>
      </c>
      <c r="W21" s="31">
        <v>15444</v>
      </c>
      <c r="X21" s="110">
        <v>593</v>
      </c>
      <c r="Y21" s="31">
        <v>16406.621</v>
      </c>
      <c r="Z21" s="31">
        <v>6708</v>
      </c>
      <c r="AA21" s="31">
        <v>0</v>
      </c>
      <c r="AB21" s="110">
        <v>41788</v>
      </c>
      <c r="AC21" s="31">
        <v>12842.842999999999</v>
      </c>
      <c r="AD21" s="110">
        <v>804</v>
      </c>
      <c r="AE21" s="31">
        <v>4078</v>
      </c>
      <c r="AF21" s="31">
        <v>5666</v>
      </c>
      <c r="AG21" s="110">
        <v>3186</v>
      </c>
      <c r="AH21" s="110">
        <v>2046</v>
      </c>
      <c r="AI21" s="110">
        <v>1755</v>
      </c>
      <c r="AJ21" s="110">
        <v>119</v>
      </c>
      <c r="AK21" s="31">
        <v>1977</v>
      </c>
      <c r="AL21" s="31">
        <v>0</v>
      </c>
      <c r="AM21" s="110">
        <v>832</v>
      </c>
      <c r="AN21" s="110">
        <v>1149</v>
      </c>
      <c r="AO21" s="110">
        <v>380</v>
      </c>
      <c r="AP21" s="110">
        <v>645</v>
      </c>
      <c r="AQ21" s="110">
        <v>298</v>
      </c>
      <c r="AR21" s="110">
        <v>29</v>
      </c>
      <c r="AS21" s="110">
        <v>95</v>
      </c>
      <c r="AT21" s="110">
        <v>0</v>
      </c>
      <c r="AU21" s="110">
        <v>0</v>
      </c>
      <c r="AV21" s="110">
        <v>1396</v>
      </c>
      <c r="AW21" s="110">
        <v>0</v>
      </c>
      <c r="AX21" s="110">
        <v>0</v>
      </c>
      <c r="AY21" s="110">
        <v>0</v>
      </c>
      <c r="AZ21" s="31"/>
      <c r="BA21" s="30">
        <f t="shared" si="0"/>
        <v>844361.305</v>
      </c>
      <c r="BB21" s="30"/>
      <c r="BC21" s="30"/>
      <c r="BD21" s="30"/>
      <c r="BE21" s="31"/>
    </row>
    <row r="22" spans="1:57" ht="12.75">
      <c r="A22" s="33" t="s">
        <v>340</v>
      </c>
      <c r="B22" s="31">
        <v>163832</v>
      </c>
      <c r="C22" s="178">
        <v>123271</v>
      </c>
      <c r="D22" s="110">
        <v>111493.24</v>
      </c>
      <c r="E22" s="110">
        <v>71667</v>
      </c>
      <c r="F22" s="110">
        <v>78108.956</v>
      </c>
      <c r="G22" s="31">
        <v>49634</v>
      </c>
      <c r="H22" s="31">
        <v>47493</v>
      </c>
      <c r="I22" s="31">
        <v>59227</v>
      </c>
      <c r="J22" s="31">
        <v>34545</v>
      </c>
      <c r="K22" s="31">
        <v>25908</v>
      </c>
      <c r="L22" s="31">
        <v>33646</v>
      </c>
      <c r="M22" s="31">
        <v>36078</v>
      </c>
      <c r="N22" s="31">
        <v>22639</v>
      </c>
      <c r="O22" s="110">
        <v>14095</v>
      </c>
      <c r="P22" s="31">
        <v>18745</v>
      </c>
      <c r="Q22" s="110">
        <v>28084</v>
      </c>
      <c r="R22" s="110">
        <v>54518</v>
      </c>
      <c r="S22" s="194">
        <v>16634</v>
      </c>
      <c r="T22" s="110">
        <v>20369</v>
      </c>
      <c r="U22" s="110">
        <v>24394.734</v>
      </c>
      <c r="V22" s="110">
        <v>32228</v>
      </c>
      <c r="W22" s="31">
        <v>12550</v>
      </c>
      <c r="X22" s="110">
        <v>11374</v>
      </c>
      <c r="Y22" s="31">
        <v>19748.061</v>
      </c>
      <c r="Z22" s="31">
        <v>38693</v>
      </c>
      <c r="AA22" s="31">
        <v>3258</v>
      </c>
      <c r="AB22" s="110">
        <v>17462</v>
      </c>
      <c r="AC22" s="31">
        <v>10419.738000000001</v>
      </c>
      <c r="AD22" s="110">
        <v>2402</v>
      </c>
      <c r="AE22" s="31">
        <v>8101</v>
      </c>
      <c r="AF22" s="31">
        <v>4027</v>
      </c>
      <c r="AG22" s="110">
        <v>4849</v>
      </c>
      <c r="AH22" s="110">
        <v>968</v>
      </c>
      <c r="AI22" s="110">
        <v>3768</v>
      </c>
      <c r="AJ22" s="110">
        <v>2447</v>
      </c>
      <c r="AK22" s="31">
        <v>7907</v>
      </c>
      <c r="AL22" s="31">
        <v>3080.927</v>
      </c>
      <c r="AM22" s="110">
        <v>2351</v>
      </c>
      <c r="AN22" s="110">
        <v>3706</v>
      </c>
      <c r="AO22" s="110">
        <v>680</v>
      </c>
      <c r="AP22" s="110">
        <v>675</v>
      </c>
      <c r="AQ22" s="110">
        <v>1000</v>
      </c>
      <c r="AR22" s="110">
        <v>2715</v>
      </c>
      <c r="AS22" s="110">
        <v>1086</v>
      </c>
      <c r="AT22" s="110">
        <v>383.018</v>
      </c>
      <c r="AU22" s="110">
        <v>1278</v>
      </c>
      <c r="AV22" s="110">
        <v>1396</v>
      </c>
      <c r="AW22" s="110">
        <v>2344</v>
      </c>
      <c r="AX22" s="31">
        <v>3004.547</v>
      </c>
      <c r="AY22" s="31">
        <v>243</v>
      </c>
      <c r="AZ22" s="31"/>
      <c r="BA22" s="30">
        <f t="shared" si="0"/>
        <v>1238526.221</v>
      </c>
      <c r="BB22" s="30"/>
      <c r="BC22" s="30"/>
      <c r="BD22" s="30"/>
      <c r="BE22" s="31"/>
    </row>
    <row r="23" spans="1:57" ht="12.75">
      <c r="A23" s="33" t="s">
        <v>341</v>
      </c>
      <c r="B23" s="31">
        <v>56115</v>
      </c>
      <c r="C23" s="178">
        <v>0</v>
      </c>
      <c r="D23" s="110">
        <v>0</v>
      </c>
      <c r="E23" s="110">
        <v>0</v>
      </c>
      <c r="F23" s="110">
        <v>0</v>
      </c>
      <c r="G23" s="31">
        <v>0</v>
      </c>
      <c r="H23" s="31">
        <v>3057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110">
        <v>19517</v>
      </c>
      <c r="P23" s="31">
        <v>0</v>
      </c>
      <c r="Q23" s="31">
        <v>0</v>
      </c>
      <c r="R23" s="31">
        <v>0</v>
      </c>
      <c r="S23" s="194">
        <v>6235</v>
      </c>
      <c r="T23" s="110">
        <v>0</v>
      </c>
      <c r="U23" s="110">
        <v>0</v>
      </c>
      <c r="V23" s="110">
        <v>0</v>
      </c>
      <c r="W23" s="31">
        <v>0</v>
      </c>
      <c r="X23" s="110">
        <v>0</v>
      </c>
      <c r="Y23" s="31">
        <v>0</v>
      </c>
      <c r="Z23" s="31">
        <v>0</v>
      </c>
      <c r="AA23" s="31">
        <v>0</v>
      </c>
      <c r="AB23" s="110">
        <v>0</v>
      </c>
      <c r="AC23" s="31">
        <v>0</v>
      </c>
      <c r="AD23" s="110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1334</v>
      </c>
      <c r="AL23" s="31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31"/>
      <c r="BA23" s="30">
        <f t="shared" si="0"/>
        <v>86258</v>
      </c>
      <c r="BB23" s="30"/>
      <c r="BC23" s="30"/>
      <c r="BD23" s="30"/>
      <c r="BE23" s="31"/>
    </row>
    <row r="24" spans="1:57" ht="12.75">
      <c r="A24" s="33" t="s">
        <v>342</v>
      </c>
      <c r="B24" s="31">
        <v>0</v>
      </c>
      <c r="C24" s="178">
        <v>46928</v>
      </c>
      <c r="D24" s="110">
        <v>13904.969000000001</v>
      </c>
      <c r="E24" s="110">
        <v>0</v>
      </c>
      <c r="F24" s="110">
        <v>3784221</v>
      </c>
      <c r="G24" s="31">
        <v>0</v>
      </c>
      <c r="H24" s="31">
        <v>0</v>
      </c>
      <c r="I24" s="31">
        <v>0</v>
      </c>
      <c r="J24" s="31">
        <v>316</v>
      </c>
      <c r="K24" s="31">
        <v>82109</v>
      </c>
      <c r="L24" s="31">
        <v>459</v>
      </c>
      <c r="M24" s="31">
        <v>0</v>
      </c>
      <c r="N24" s="31">
        <v>-6343</v>
      </c>
      <c r="O24" s="110">
        <v>0</v>
      </c>
      <c r="P24" s="31">
        <v>19770</v>
      </c>
      <c r="Q24" s="110">
        <v>306.6</v>
      </c>
      <c r="R24" s="31">
        <v>0</v>
      </c>
      <c r="S24" s="31">
        <v>0</v>
      </c>
      <c r="T24" s="110">
        <v>888</v>
      </c>
      <c r="U24" s="110">
        <v>0</v>
      </c>
      <c r="V24" s="110">
        <v>0</v>
      </c>
      <c r="W24" s="31">
        <v>562</v>
      </c>
      <c r="X24" s="110">
        <v>5348</v>
      </c>
      <c r="Y24" s="31">
        <v>0</v>
      </c>
      <c r="Z24" s="31">
        <v>0</v>
      </c>
      <c r="AA24" s="31">
        <v>0</v>
      </c>
      <c r="AB24" s="110">
        <v>0</v>
      </c>
      <c r="AC24" s="31">
        <v>2193.245</v>
      </c>
      <c r="AD24" s="110">
        <v>10942</v>
      </c>
      <c r="AE24" s="31">
        <v>19221</v>
      </c>
      <c r="AF24" s="31">
        <v>0</v>
      </c>
      <c r="AG24" s="31">
        <v>0</v>
      </c>
      <c r="AH24" s="31">
        <v>0</v>
      </c>
      <c r="AI24" s="110">
        <v>1493</v>
      </c>
      <c r="AJ24" s="31">
        <f>19025+86</f>
        <v>19111</v>
      </c>
      <c r="AK24" s="31">
        <v>0</v>
      </c>
      <c r="AL24" s="31">
        <v>0</v>
      </c>
      <c r="AM24" s="110">
        <v>0</v>
      </c>
      <c r="AN24" s="110">
        <v>145</v>
      </c>
      <c r="AO24" s="110">
        <v>0</v>
      </c>
      <c r="AP24" s="110">
        <v>0</v>
      </c>
      <c r="AQ24" s="110">
        <v>1784</v>
      </c>
      <c r="AR24" s="110">
        <v>0</v>
      </c>
      <c r="AS24" s="110">
        <v>0</v>
      </c>
      <c r="AT24" s="110">
        <v>0.312</v>
      </c>
      <c r="AU24" s="110">
        <v>0</v>
      </c>
      <c r="AV24" s="110">
        <v>0</v>
      </c>
      <c r="AW24" s="110">
        <v>0</v>
      </c>
      <c r="AX24" s="110">
        <v>0</v>
      </c>
      <c r="AY24" s="31">
        <v>307</v>
      </c>
      <c r="AZ24" s="31"/>
      <c r="BA24" s="30">
        <f t="shared" si="0"/>
        <v>4003666.126</v>
      </c>
      <c r="BB24" s="30"/>
      <c r="BC24" s="30"/>
      <c r="BD24" s="30"/>
      <c r="BE24" s="31"/>
    </row>
    <row r="25" spans="1:57" ht="12.75">
      <c r="A25" s="285" t="s">
        <v>343</v>
      </c>
      <c r="B25" s="30">
        <f>SUM(B20:B24)</f>
        <v>10750547</v>
      </c>
      <c r="C25" s="30">
        <f aca="true" t="shared" si="2" ref="C25:AY25">SUM(C20:C24)</f>
        <v>2641089</v>
      </c>
      <c r="D25" s="30">
        <f t="shared" si="2"/>
        <v>2271720.899</v>
      </c>
      <c r="E25" s="30">
        <f t="shared" si="2"/>
        <v>1385265</v>
      </c>
      <c r="F25" s="30">
        <f t="shared" si="2"/>
        <v>5559758.602</v>
      </c>
      <c r="G25" s="30">
        <f t="shared" si="2"/>
        <v>1122078</v>
      </c>
      <c r="H25" s="30">
        <f t="shared" si="2"/>
        <v>383187</v>
      </c>
      <c r="I25" s="30">
        <f t="shared" si="2"/>
        <v>249327</v>
      </c>
      <c r="J25" s="30">
        <f t="shared" si="2"/>
        <v>395798</v>
      </c>
      <c r="K25" s="30">
        <f t="shared" si="2"/>
        <v>417310</v>
      </c>
      <c r="L25" s="30">
        <f t="shared" si="2"/>
        <v>685331</v>
      </c>
      <c r="M25" s="30">
        <f t="shared" si="2"/>
        <v>894390</v>
      </c>
      <c r="N25" s="30">
        <f t="shared" si="2"/>
        <v>463405</v>
      </c>
      <c r="O25" s="30">
        <f t="shared" si="2"/>
        <v>370743</v>
      </c>
      <c r="P25" s="30">
        <f t="shared" si="2"/>
        <v>423232</v>
      </c>
      <c r="Q25" s="30">
        <f t="shared" si="2"/>
        <v>198559.6</v>
      </c>
      <c r="R25" s="30">
        <f t="shared" si="2"/>
        <v>558649</v>
      </c>
      <c r="S25" s="30">
        <f t="shared" si="2"/>
        <v>679980</v>
      </c>
      <c r="T25" s="30">
        <f t="shared" si="2"/>
        <v>348809</v>
      </c>
      <c r="U25" s="30">
        <f t="shared" si="2"/>
        <v>693489.682</v>
      </c>
      <c r="V25" s="30">
        <f t="shared" si="2"/>
        <v>1272998</v>
      </c>
      <c r="W25" s="30">
        <f t="shared" si="2"/>
        <v>331998</v>
      </c>
      <c r="X25" s="30">
        <f t="shared" si="2"/>
        <v>302128</v>
      </c>
      <c r="Y25" s="30">
        <f t="shared" si="2"/>
        <v>123538.631</v>
      </c>
      <c r="Z25" s="30">
        <f t="shared" si="2"/>
        <v>83684</v>
      </c>
      <c r="AA25" s="30">
        <f t="shared" si="2"/>
        <v>257170</v>
      </c>
      <c r="AB25" s="30">
        <f t="shared" si="2"/>
        <v>248842</v>
      </c>
      <c r="AC25" s="30">
        <f t="shared" si="2"/>
        <v>68010.882</v>
      </c>
      <c r="AD25" s="30">
        <f t="shared" si="2"/>
        <v>99389</v>
      </c>
      <c r="AE25" s="30">
        <f t="shared" si="2"/>
        <v>181896</v>
      </c>
      <c r="AF25" s="30">
        <f t="shared" si="2"/>
        <v>77330</v>
      </c>
      <c r="AG25" s="30">
        <f t="shared" si="2"/>
        <v>66384</v>
      </c>
      <c r="AH25" s="30">
        <f t="shared" si="2"/>
        <v>99126</v>
      </c>
      <c r="AI25" s="30">
        <f t="shared" si="2"/>
        <v>96015</v>
      </c>
      <c r="AJ25" s="30">
        <f t="shared" si="2"/>
        <v>55106</v>
      </c>
      <c r="AK25" s="30">
        <f t="shared" si="2"/>
        <v>69155</v>
      </c>
      <c r="AL25" s="30">
        <f t="shared" si="2"/>
        <v>54903.824</v>
      </c>
      <c r="AM25" s="30">
        <f t="shared" si="2"/>
        <v>78142</v>
      </c>
      <c r="AN25" s="30">
        <f t="shared" si="2"/>
        <v>175785</v>
      </c>
      <c r="AO25" s="30">
        <f t="shared" si="2"/>
        <v>58311</v>
      </c>
      <c r="AP25" s="30">
        <f t="shared" si="2"/>
        <v>38968</v>
      </c>
      <c r="AQ25" s="30">
        <f t="shared" si="2"/>
        <v>42809</v>
      </c>
      <c r="AR25" s="30">
        <f t="shared" si="2"/>
        <v>24441</v>
      </c>
      <c r="AS25" s="30">
        <f t="shared" si="2"/>
        <v>39938</v>
      </c>
      <c r="AT25" s="30">
        <f t="shared" si="2"/>
        <v>38741.34999999999</v>
      </c>
      <c r="AU25" s="30">
        <f t="shared" si="2"/>
        <v>36767</v>
      </c>
      <c r="AV25" s="30">
        <f t="shared" si="2"/>
        <v>27350</v>
      </c>
      <c r="AW25" s="30">
        <f t="shared" si="2"/>
        <v>142459</v>
      </c>
      <c r="AX25" s="30">
        <f t="shared" si="2"/>
        <v>55659.503</v>
      </c>
      <c r="AY25" s="30">
        <f t="shared" si="2"/>
        <v>1492</v>
      </c>
      <c r="AZ25" s="30"/>
      <c r="BA25" s="30">
        <f t="shared" si="0"/>
        <v>34741205.973000005</v>
      </c>
      <c r="BB25" s="30"/>
      <c r="BC25" s="30"/>
      <c r="BD25" s="30"/>
      <c r="BE25" s="31"/>
    </row>
    <row r="26" spans="1:57" ht="8.25" customHeight="1">
      <c r="A26" s="30"/>
      <c r="C26" s="178"/>
      <c r="D26" s="34"/>
      <c r="E26" s="34"/>
      <c r="F26" s="34"/>
      <c r="O26" s="42"/>
      <c r="Q26" s="34"/>
      <c r="R26" s="34"/>
      <c r="S26" s="193"/>
      <c r="T26" s="34"/>
      <c r="U26" s="34"/>
      <c r="V26" s="34"/>
      <c r="X26" s="34"/>
      <c r="AB26" s="34"/>
      <c r="AD26" s="42"/>
      <c r="AG26" s="34"/>
      <c r="AH26" s="34"/>
      <c r="AI26" s="34"/>
      <c r="AJ26" s="30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BA26" s="30"/>
      <c r="BB26" s="30"/>
      <c r="BC26" s="30"/>
      <c r="BD26" s="30"/>
      <c r="BE26" s="31"/>
    </row>
    <row r="27" spans="1:57" ht="12.75">
      <c r="A27" s="32" t="s">
        <v>344</v>
      </c>
      <c r="C27" s="179"/>
      <c r="D27" s="34"/>
      <c r="E27" s="34"/>
      <c r="F27" s="34"/>
      <c r="O27" s="42"/>
      <c r="Q27" s="34"/>
      <c r="R27" s="34"/>
      <c r="S27" s="94"/>
      <c r="T27" s="34"/>
      <c r="U27" s="34"/>
      <c r="V27" s="34"/>
      <c r="X27" s="34"/>
      <c r="AB27" s="34"/>
      <c r="AD27" s="42"/>
      <c r="AE27" s="41">
        <v>0</v>
      </c>
      <c r="AG27" s="34"/>
      <c r="AH27" s="34"/>
      <c r="AI27" s="34"/>
      <c r="AJ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BA27" s="30"/>
      <c r="BB27" s="30"/>
      <c r="BC27" s="30"/>
      <c r="BD27" s="30"/>
      <c r="BE27" s="31"/>
    </row>
    <row r="28" spans="1:57" ht="12.75">
      <c r="A28" s="32" t="s">
        <v>345</v>
      </c>
      <c r="B28" s="30">
        <f>+B17-B25</f>
        <v>63524038</v>
      </c>
      <c r="C28" s="30">
        <f aca="true" t="shared" si="3" ref="C28:AY28">+C17-C25</f>
        <v>29735163</v>
      </c>
      <c r="D28" s="30">
        <f t="shared" si="3"/>
        <v>14562654.881000001</v>
      </c>
      <c r="E28" s="30">
        <f t="shared" si="3"/>
        <v>14541747</v>
      </c>
      <c r="F28" s="30">
        <f t="shared" si="3"/>
        <v>13858530.769</v>
      </c>
      <c r="G28" s="30">
        <f t="shared" si="3"/>
        <v>11782647</v>
      </c>
      <c r="H28" s="30">
        <f t="shared" si="3"/>
        <v>4665380</v>
      </c>
      <c r="I28" s="30">
        <f t="shared" si="3"/>
        <v>8603258</v>
      </c>
      <c r="J28" s="30">
        <f t="shared" si="3"/>
        <v>20900520</v>
      </c>
      <c r="K28" s="30">
        <f t="shared" si="3"/>
        <v>6386111</v>
      </c>
      <c r="L28" s="30">
        <f t="shared" si="3"/>
        <v>7995158</v>
      </c>
      <c r="M28" s="30">
        <f t="shared" si="3"/>
        <v>5673471</v>
      </c>
      <c r="N28" s="30">
        <f t="shared" si="3"/>
        <v>7406702</v>
      </c>
      <c r="O28" s="30">
        <f t="shared" si="3"/>
        <v>2330693</v>
      </c>
      <c r="P28" s="30">
        <f t="shared" si="3"/>
        <v>3883410</v>
      </c>
      <c r="Q28" s="30">
        <f t="shared" si="3"/>
        <v>2383511.4</v>
      </c>
      <c r="R28" s="30">
        <f t="shared" si="3"/>
        <v>6741814</v>
      </c>
      <c r="S28" s="30">
        <f t="shared" si="3"/>
        <v>5891933</v>
      </c>
      <c r="T28" s="30">
        <f t="shared" si="3"/>
        <v>3056755</v>
      </c>
      <c r="U28" s="30">
        <f t="shared" si="3"/>
        <v>6765162.863999999</v>
      </c>
      <c r="V28" s="30">
        <f t="shared" si="3"/>
        <v>914917</v>
      </c>
      <c r="W28" s="30">
        <f t="shared" si="3"/>
        <v>2290057</v>
      </c>
      <c r="X28" s="30">
        <f t="shared" si="3"/>
        <v>4940288</v>
      </c>
      <c r="Y28" s="30">
        <f t="shared" si="3"/>
        <v>4687527.421999999</v>
      </c>
      <c r="Z28" s="30">
        <f t="shared" si="3"/>
        <v>5152897</v>
      </c>
      <c r="AA28" s="30">
        <f t="shared" si="3"/>
        <v>1094470</v>
      </c>
      <c r="AB28" s="30">
        <f t="shared" si="3"/>
        <v>2324418</v>
      </c>
      <c r="AC28" s="30">
        <f t="shared" si="3"/>
        <v>2313553.8049999997</v>
      </c>
      <c r="AD28" s="30">
        <f t="shared" si="3"/>
        <v>516107</v>
      </c>
      <c r="AE28" s="30">
        <f t="shared" si="3"/>
        <v>497042</v>
      </c>
      <c r="AF28" s="30">
        <f t="shared" si="3"/>
        <v>488205</v>
      </c>
      <c r="AG28" s="30">
        <f t="shared" si="3"/>
        <v>963956</v>
      </c>
      <c r="AH28" s="30">
        <f t="shared" si="3"/>
        <v>1943037</v>
      </c>
      <c r="AI28" s="30">
        <f t="shared" si="3"/>
        <v>384485</v>
      </c>
      <c r="AJ28" s="30">
        <f t="shared" si="3"/>
        <v>867831</v>
      </c>
      <c r="AK28" s="30">
        <f t="shared" si="3"/>
        <v>169694</v>
      </c>
      <c r="AL28" s="30">
        <f t="shared" si="3"/>
        <v>514180.4600000001</v>
      </c>
      <c r="AM28" s="30">
        <f t="shared" si="3"/>
        <v>488936</v>
      </c>
      <c r="AN28" s="30">
        <f t="shared" si="3"/>
        <v>376444</v>
      </c>
      <c r="AO28" s="30">
        <f t="shared" si="3"/>
        <v>416395</v>
      </c>
      <c r="AP28" s="30">
        <f t="shared" si="3"/>
        <v>259646</v>
      </c>
      <c r="AQ28" s="30">
        <f t="shared" si="3"/>
        <v>63999</v>
      </c>
      <c r="AR28" s="30">
        <f t="shared" si="3"/>
        <v>333159</v>
      </c>
      <c r="AS28" s="30">
        <f t="shared" si="3"/>
        <v>272790</v>
      </c>
      <c r="AT28" s="30">
        <f t="shared" si="3"/>
        <v>24658.557</v>
      </c>
      <c r="AU28" s="30">
        <f t="shared" si="3"/>
        <v>168752</v>
      </c>
      <c r="AV28" s="30">
        <f t="shared" si="3"/>
        <v>50619</v>
      </c>
      <c r="AW28" s="30">
        <f t="shared" si="3"/>
        <v>4831</v>
      </c>
      <c r="AX28" s="30">
        <f t="shared" si="3"/>
        <v>2621.0220000000045</v>
      </c>
      <c r="AY28" s="30">
        <f t="shared" si="3"/>
        <v>-1444</v>
      </c>
      <c r="AZ28" s="30"/>
      <c r="BA28" s="30">
        <f t="shared" si="0"/>
        <v>273212732.18</v>
      </c>
      <c r="BB28" s="30"/>
      <c r="BC28" s="30"/>
      <c r="BD28" s="30"/>
      <c r="BE28" s="31"/>
    </row>
    <row r="29" spans="1:57" ht="8.25" customHeight="1">
      <c r="A29" s="32"/>
      <c r="C29" s="179"/>
      <c r="D29" s="34"/>
      <c r="E29" s="34"/>
      <c r="F29" s="34"/>
      <c r="O29" s="42"/>
      <c r="Q29" s="34"/>
      <c r="R29" s="34"/>
      <c r="S29" s="94"/>
      <c r="T29" s="34"/>
      <c r="U29" s="34"/>
      <c r="V29" s="34"/>
      <c r="X29" s="34"/>
      <c r="AB29" s="34"/>
      <c r="AD29" s="42"/>
      <c r="AG29" s="34"/>
      <c r="AH29" s="34"/>
      <c r="AI29" s="34"/>
      <c r="AJ29" s="30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BA29" s="30"/>
      <c r="BB29" s="30"/>
      <c r="BC29" s="30"/>
      <c r="BD29" s="30"/>
      <c r="BE29" s="31"/>
    </row>
    <row r="30" spans="1:57" ht="12.75">
      <c r="A30" s="32" t="s">
        <v>346</v>
      </c>
      <c r="C30" s="179"/>
      <c r="D30" s="34"/>
      <c r="E30" s="34"/>
      <c r="F30" s="34"/>
      <c r="O30" s="42"/>
      <c r="Q30" s="34"/>
      <c r="R30" s="34"/>
      <c r="S30" s="94"/>
      <c r="T30" s="34"/>
      <c r="U30" s="34"/>
      <c r="V30" s="34"/>
      <c r="X30" s="34"/>
      <c r="AB30" s="34"/>
      <c r="AD30" s="42"/>
      <c r="AG30" s="34"/>
      <c r="AH30" s="34"/>
      <c r="AI30" s="34"/>
      <c r="AJ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BA30" s="30"/>
      <c r="BB30" s="30"/>
      <c r="BC30" s="30"/>
      <c r="BD30" s="30"/>
      <c r="BE30" s="31"/>
    </row>
    <row r="31" spans="1:57" ht="12.75">
      <c r="A31" s="33" t="s">
        <v>347</v>
      </c>
      <c r="B31" s="31">
        <v>37030262</v>
      </c>
      <c r="C31" s="178">
        <v>13648772</v>
      </c>
      <c r="D31" s="110">
        <v>7093409.905</v>
      </c>
      <c r="E31" s="110">
        <v>8894082</v>
      </c>
      <c r="F31" s="110">
        <v>6917989</v>
      </c>
      <c r="G31" s="31">
        <v>7842007</v>
      </c>
      <c r="H31" s="31">
        <v>2121053</v>
      </c>
      <c r="I31" s="31">
        <v>6937924</v>
      </c>
      <c r="J31" s="31">
        <v>10645005</v>
      </c>
      <c r="K31" s="31">
        <v>2295943</v>
      </c>
      <c r="L31" s="31">
        <v>5979662</v>
      </c>
      <c r="M31" s="31">
        <v>2344979</v>
      </c>
      <c r="N31" s="31">
        <v>5624744</v>
      </c>
      <c r="O31" s="110">
        <v>1615239</v>
      </c>
      <c r="P31" s="31">
        <v>2201354</v>
      </c>
      <c r="Q31" s="110">
        <v>677963</v>
      </c>
      <c r="R31" s="110">
        <v>6405792</v>
      </c>
      <c r="S31" s="101">
        <v>3753830</v>
      </c>
      <c r="T31" s="110">
        <v>1959204</v>
      </c>
      <c r="U31" s="110">
        <v>6151781.966</v>
      </c>
      <c r="V31" s="110">
        <v>642812</v>
      </c>
      <c r="W31" s="31">
        <v>967712</v>
      </c>
      <c r="X31" s="110">
        <v>4413449</v>
      </c>
      <c r="Y31" s="31">
        <v>4659698.263</v>
      </c>
      <c r="Z31" s="31">
        <v>3177083</v>
      </c>
      <c r="AA31" s="31">
        <v>995738</v>
      </c>
      <c r="AB31" s="110">
        <v>1155394</v>
      </c>
      <c r="AC31" s="31">
        <v>2172432.6659999997</v>
      </c>
      <c r="AD31" s="110">
        <v>307733</v>
      </c>
      <c r="AE31" s="31">
        <v>423446</v>
      </c>
      <c r="AF31" s="31">
        <v>55595</v>
      </c>
      <c r="AG31" s="110">
        <v>869955</v>
      </c>
      <c r="AH31" s="110">
        <v>1832272</v>
      </c>
      <c r="AI31" s="110">
        <v>379411</v>
      </c>
      <c r="AJ31" s="110">
        <v>861785</v>
      </c>
      <c r="AK31" s="31">
        <f>851+18000</f>
        <v>18851</v>
      </c>
      <c r="AL31" s="31">
        <v>166796.467</v>
      </c>
      <c r="AM31" s="110">
        <v>483252</v>
      </c>
      <c r="AN31" s="110">
        <v>319982</v>
      </c>
      <c r="AO31" s="110">
        <v>414563</v>
      </c>
      <c r="AP31" s="110">
        <v>258518</v>
      </c>
      <c r="AQ31" s="110">
        <v>569</v>
      </c>
      <c r="AR31" s="110">
        <v>296283</v>
      </c>
      <c r="AS31" s="110">
        <v>269309</v>
      </c>
      <c r="AT31" s="110">
        <v>0</v>
      </c>
      <c r="AU31" s="110">
        <v>134327</v>
      </c>
      <c r="AV31" s="110">
        <v>44719</v>
      </c>
      <c r="AW31" s="110">
        <v>0</v>
      </c>
      <c r="AX31" s="110">
        <v>0</v>
      </c>
      <c r="AY31" s="110">
        <v>0</v>
      </c>
      <c r="AZ31" s="31"/>
      <c r="BA31" s="30">
        <f t="shared" si="0"/>
        <v>165462681.26700002</v>
      </c>
      <c r="BB31" s="30"/>
      <c r="BC31" s="30"/>
      <c r="BD31" s="30"/>
      <c r="BE31" s="31"/>
    </row>
    <row r="32" spans="1:57" ht="12.75">
      <c r="A32" s="33" t="s">
        <v>348</v>
      </c>
      <c r="B32" s="31">
        <v>22761027</v>
      </c>
      <c r="C32" s="178">
        <v>10324256</v>
      </c>
      <c r="D32" s="110">
        <v>6614733.726</v>
      </c>
      <c r="E32" s="110">
        <v>4928029</v>
      </c>
      <c r="F32" s="110">
        <v>3995286</v>
      </c>
      <c r="G32" s="31">
        <v>4173146</v>
      </c>
      <c r="H32" s="31">
        <v>2193946</v>
      </c>
      <c r="I32" s="31">
        <v>1289942</v>
      </c>
      <c r="J32" s="31">
        <v>8778858</v>
      </c>
      <c r="K32" s="31">
        <v>2640707</v>
      </c>
      <c r="L32" s="31">
        <v>1816443</v>
      </c>
      <c r="M32" s="31">
        <v>3008315</v>
      </c>
      <c r="N32" s="31">
        <v>1411350</v>
      </c>
      <c r="O32" s="110">
        <v>471305</v>
      </c>
      <c r="P32" s="31">
        <v>1521164</v>
      </c>
      <c r="Q32" s="110">
        <v>1052272</v>
      </c>
      <c r="R32" s="110">
        <v>106104</v>
      </c>
      <c r="S32" s="101">
        <v>1900484</v>
      </c>
      <c r="T32" s="110">
        <v>1028945</v>
      </c>
      <c r="U32" s="110">
        <v>431231.783</v>
      </c>
      <c r="V32" s="110">
        <v>62356</v>
      </c>
      <c r="W32" s="31">
        <v>1381914</v>
      </c>
      <c r="X32" s="110">
        <v>344703</v>
      </c>
      <c r="Y32" s="31">
        <v>0</v>
      </c>
      <c r="Z32" s="31">
        <v>1394249</v>
      </c>
      <c r="AA32" s="31">
        <v>0</v>
      </c>
      <c r="AB32" s="110">
        <v>1111514</v>
      </c>
      <c r="AC32" s="31">
        <v>0</v>
      </c>
      <c r="AD32" s="110">
        <v>211301</v>
      </c>
      <c r="AE32" s="31">
        <v>80441</v>
      </c>
      <c r="AF32" s="31">
        <v>50000</v>
      </c>
      <c r="AG32" s="110">
        <v>0</v>
      </c>
      <c r="AH32" s="110">
        <v>109795</v>
      </c>
      <c r="AI32" s="110">
        <v>0</v>
      </c>
      <c r="AJ32" s="110">
        <v>0</v>
      </c>
      <c r="AK32" s="31">
        <f>75881+15000+10155</f>
        <v>101036</v>
      </c>
      <c r="AL32" s="31">
        <v>353334.3</v>
      </c>
      <c r="AM32" s="110">
        <v>0</v>
      </c>
      <c r="AN32" s="110">
        <v>30509</v>
      </c>
      <c r="AO32" s="110">
        <v>0</v>
      </c>
      <c r="AP32" s="110">
        <v>0</v>
      </c>
      <c r="AQ32" s="110">
        <v>62770</v>
      </c>
      <c r="AR32" s="110">
        <v>0</v>
      </c>
      <c r="AS32" s="110">
        <v>0</v>
      </c>
      <c r="AT32" s="110">
        <v>0</v>
      </c>
      <c r="AU32" s="110">
        <v>28381</v>
      </c>
      <c r="AV32" s="110">
        <v>2180</v>
      </c>
      <c r="AW32" s="110">
        <v>0</v>
      </c>
      <c r="AX32" s="110">
        <v>0</v>
      </c>
      <c r="AY32" s="110">
        <v>0</v>
      </c>
      <c r="AZ32" s="31"/>
      <c r="BA32" s="30">
        <f t="shared" si="0"/>
        <v>85772027.809</v>
      </c>
      <c r="BB32" s="30"/>
      <c r="BC32" s="30"/>
      <c r="BD32" s="30"/>
      <c r="BE32" s="31"/>
    </row>
    <row r="33" spans="1:57" ht="12.75">
      <c r="A33" s="33" t="s">
        <v>349</v>
      </c>
      <c r="B33" s="31">
        <v>3922967</v>
      </c>
      <c r="C33" s="178">
        <v>4088606</v>
      </c>
      <c r="D33" s="110">
        <v>684182</v>
      </c>
      <c r="E33" s="110">
        <v>619632</v>
      </c>
      <c r="F33" s="110">
        <v>2797149</v>
      </c>
      <c r="G33" s="31">
        <v>30000</v>
      </c>
      <c r="H33" s="31">
        <v>252482</v>
      </c>
      <c r="I33" s="31">
        <v>0</v>
      </c>
      <c r="J33" s="31">
        <v>0</v>
      </c>
      <c r="K33" s="31">
        <v>1399138</v>
      </c>
      <c r="L33" s="31">
        <v>381640</v>
      </c>
      <c r="M33" s="31">
        <v>303747</v>
      </c>
      <c r="N33" s="31">
        <v>118550</v>
      </c>
      <c r="O33" s="110">
        <v>314976</v>
      </c>
      <c r="P33" s="31">
        <v>208507</v>
      </c>
      <c r="Q33" s="110">
        <v>377693</v>
      </c>
      <c r="R33" s="110">
        <v>295395</v>
      </c>
      <c r="S33" s="101">
        <v>237256</v>
      </c>
      <c r="T33" s="110">
        <v>0</v>
      </c>
      <c r="U33" s="110">
        <v>95771.8</v>
      </c>
      <c r="V33" s="110">
        <v>201488</v>
      </c>
      <c r="W33" s="31">
        <v>0</v>
      </c>
      <c r="X33" s="110">
        <v>193220</v>
      </c>
      <c r="Y33" s="31">
        <v>0</v>
      </c>
      <c r="Z33" s="31">
        <v>434498</v>
      </c>
      <c r="AA33" s="31">
        <v>30950</v>
      </c>
      <c r="AB33" s="110">
        <v>73348</v>
      </c>
      <c r="AC33" s="31">
        <v>0</v>
      </c>
      <c r="AD33" s="110">
        <v>0</v>
      </c>
      <c r="AE33" s="31">
        <v>3494</v>
      </c>
      <c r="AF33" s="31">
        <v>0</v>
      </c>
      <c r="AG33" s="110">
        <v>5200</v>
      </c>
      <c r="AH33" s="110">
        <v>0</v>
      </c>
      <c r="AI33" s="110">
        <v>11452</v>
      </c>
      <c r="AJ33" s="110">
        <v>3500</v>
      </c>
      <c r="AK33" s="31">
        <v>29316</v>
      </c>
      <c r="AL33" s="31">
        <v>0</v>
      </c>
      <c r="AM33" s="110">
        <v>3000</v>
      </c>
      <c r="AN33" s="110">
        <v>10800</v>
      </c>
      <c r="AO33" s="110">
        <v>0</v>
      </c>
      <c r="AP33" s="110">
        <v>0</v>
      </c>
      <c r="AQ33" s="110">
        <v>0</v>
      </c>
      <c r="AR33" s="110">
        <v>10300</v>
      </c>
      <c r="AS33" s="110">
        <v>0</v>
      </c>
      <c r="AT33" s="110">
        <v>1500</v>
      </c>
      <c r="AU33" s="110">
        <v>2000</v>
      </c>
      <c r="AV33" s="110">
        <v>0</v>
      </c>
      <c r="AW33" s="110">
        <v>0</v>
      </c>
      <c r="AX33" s="110">
        <v>0</v>
      </c>
      <c r="AY33" s="110">
        <v>0</v>
      </c>
      <c r="AZ33" s="31"/>
      <c r="BA33" s="30">
        <f t="shared" si="0"/>
        <v>17141757.8</v>
      </c>
      <c r="BB33" s="30"/>
      <c r="BC33" s="30"/>
      <c r="BD33" s="30"/>
      <c r="BE33" s="31"/>
    </row>
    <row r="34" spans="1:57" ht="12.75">
      <c r="A34" s="33" t="s">
        <v>350</v>
      </c>
      <c r="B34" s="31">
        <v>0</v>
      </c>
      <c r="C34" s="178">
        <v>0</v>
      </c>
      <c r="D34" s="110">
        <v>0</v>
      </c>
      <c r="E34" s="110">
        <v>9991</v>
      </c>
      <c r="F34" s="110">
        <v>0</v>
      </c>
      <c r="G34" s="31">
        <v>118850</v>
      </c>
      <c r="H34" s="31">
        <v>0</v>
      </c>
      <c r="I34" s="31">
        <v>448456</v>
      </c>
      <c r="J34" s="31">
        <v>1344441</v>
      </c>
      <c r="K34" s="31">
        <v>0</v>
      </c>
      <c r="L34" s="31">
        <v>0</v>
      </c>
      <c r="M34" s="31">
        <v>4258</v>
      </c>
      <c r="N34" s="31">
        <v>0</v>
      </c>
      <c r="O34" s="110">
        <v>0</v>
      </c>
      <c r="P34" s="110">
        <v>0</v>
      </c>
      <c r="Q34" s="110">
        <v>275309</v>
      </c>
      <c r="R34" s="110">
        <v>0</v>
      </c>
      <c r="S34" s="110">
        <v>0</v>
      </c>
      <c r="T34" s="110">
        <v>0</v>
      </c>
      <c r="U34" s="110">
        <v>122728.426</v>
      </c>
      <c r="V34" s="110">
        <v>0</v>
      </c>
      <c r="W34" s="31">
        <v>249213</v>
      </c>
      <c r="X34" s="110">
        <v>0</v>
      </c>
      <c r="Y34" s="31">
        <v>0</v>
      </c>
      <c r="Z34" s="31">
        <v>21152</v>
      </c>
      <c r="AA34" s="31">
        <v>0</v>
      </c>
      <c r="AB34" s="110">
        <v>0</v>
      </c>
      <c r="AC34" s="31">
        <v>295365.063</v>
      </c>
      <c r="AD34" s="110">
        <v>0</v>
      </c>
      <c r="AE34" s="31">
        <v>0</v>
      </c>
      <c r="AF34" s="31">
        <v>0</v>
      </c>
      <c r="AG34" s="110">
        <v>91600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2781</v>
      </c>
      <c r="AV34" s="110">
        <v>0</v>
      </c>
      <c r="AW34" s="110">
        <v>0</v>
      </c>
      <c r="AX34" s="110">
        <v>0</v>
      </c>
      <c r="AY34" s="110">
        <v>0</v>
      </c>
      <c r="AZ34" s="31"/>
      <c r="BA34" s="30">
        <f t="shared" si="0"/>
        <v>2984144.489</v>
      </c>
      <c r="BB34" s="30"/>
      <c r="BC34" s="30"/>
      <c r="BD34" s="30"/>
      <c r="BE34" s="31"/>
    </row>
    <row r="35" spans="1:57" ht="12.75">
      <c r="A35" s="33" t="s">
        <v>351</v>
      </c>
      <c r="B35" s="31">
        <v>0</v>
      </c>
      <c r="C35" s="178">
        <v>97232</v>
      </c>
      <c r="D35" s="110">
        <v>6409</v>
      </c>
      <c r="E35" s="110">
        <v>4111</v>
      </c>
      <c r="F35" s="110">
        <v>0</v>
      </c>
      <c r="G35" s="31">
        <v>0</v>
      </c>
      <c r="H35" s="31">
        <v>3575</v>
      </c>
      <c r="I35" s="31">
        <v>0</v>
      </c>
      <c r="J35" s="31">
        <v>0</v>
      </c>
      <c r="K35" s="31">
        <v>13341</v>
      </c>
      <c r="L35" s="31">
        <v>0</v>
      </c>
      <c r="M35" s="31">
        <v>26001</v>
      </c>
      <c r="N35" s="31">
        <v>0</v>
      </c>
      <c r="O35" s="110">
        <v>0</v>
      </c>
      <c r="P35" s="110">
        <v>0</v>
      </c>
      <c r="Q35" s="110">
        <v>0</v>
      </c>
      <c r="R35" s="110">
        <v>2582</v>
      </c>
      <c r="S35" s="101">
        <v>363</v>
      </c>
      <c r="T35" s="110">
        <v>477</v>
      </c>
      <c r="U35" s="110">
        <v>0</v>
      </c>
      <c r="V35" s="110">
        <v>0</v>
      </c>
      <c r="W35" s="31">
        <v>1200</v>
      </c>
      <c r="X35" s="110">
        <v>0</v>
      </c>
      <c r="Y35" s="31">
        <v>0</v>
      </c>
      <c r="Z35" s="31">
        <v>373</v>
      </c>
      <c r="AA35" s="31">
        <v>0</v>
      </c>
      <c r="AB35" s="110">
        <v>151</v>
      </c>
      <c r="AC35" s="31">
        <v>0</v>
      </c>
      <c r="AD35" s="110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31"/>
      <c r="BA35" s="30">
        <f t="shared" si="0"/>
        <v>155815</v>
      </c>
      <c r="BB35" s="30"/>
      <c r="BC35" s="30"/>
      <c r="BD35" s="30"/>
      <c r="BE35" s="31"/>
    </row>
    <row r="36" spans="1:57" ht="12.75">
      <c r="A36" s="33" t="s">
        <v>352</v>
      </c>
      <c r="B36" s="31">
        <v>3269</v>
      </c>
      <c r="C36" s="178">
        <v>0</v>
      </c>
      <c r="D36" s="110">
        <v>607</v>
      </c>
      <c r="E36" s="110">
        <v>0</v>
      </c>
      <c r="F36" s="110">
        <v>0</v>
      </c>
      <c r="G36" s="31">
        <v>0</v>
      </c>
      <c r="H36" s="31">
        <v>0</v>
      </c>
      <c r="I36" s="31">
        <v>0</v>
      </c>
      <c r="J36" s="31">
        <v>0</v>
      </c>
      <c r="K36" s="31">
        <v>1846</v>
      </c>
      <c r="L36" s="31">
        <v>0</v>
      </c>
      <c r="M36" s="31">
        <v>0</v>
      </c>
      <c r="N36" s="31">
        <v>10559</v>
      </c>
      <c r="O36" s="110">
        <v>0</v>
      </c>
      <c r="P36" s="31">
        <v>16901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31">
        <v>0</v>
      </c>
      <c r="X36" s="110">
        <v>0</v>
      </c>
      <c r="Y36" s="31">
        <v>0</v>
      </c>
      <c r="Z36" s="31">
        <v>0</v>
      </c>
      <c r="AA36" s="31">
        <v>0</v>
      </c>
      <c r="AB36" s="110">
        <v>0</v>
      </c>
      <c r="AC36" s="31">
        <v>0</v>
      </c>
      <c r="AD36" s="110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31"/>
      <c r="BA36" s="30">
        <f t="shared" si="0"/>
        <v>33182</v>
      </c>
      <c r="BB36" s="30"/>
      <c r="BC36" s="30"/>
      <c r="BD36" s="30"/>
      <c r="BE36" s="31"/>
    </row>
    <row r="37" spans="1:57" ht="12.75">
      <c r="A37" s="33" t="s">
        <v>353</v>
      </c>
      <c r="B37" s="31">
        <v>0</v>
      </c>
      <c r="C37" s="178">
        <v>0</v>
      </c>
      <c r="D37" s="110">
        <v>0</v>
      </c>
      <c r="E37" s="110">
        <v>0</v>
      </c>
      <c r="F37" s="110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31">
        <v>0</v>
      </c>
      <c r="X37" s="110">
        <v>0</v>
      </c>
      <c r="Y37" s="31">
        <v>0</v>
      </c>
      <c r="Z37" s="31">
        <v>0</v>
      </c>
      <c r="AA37" s="31">
        <v>0</v>
      </c>
      <c r="AB37" s="110">
        <v>0</v>
      </c>
      <c r="AC37" s="31">
        <v>0</v>
      </c>
      <c r="AD37" s="110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110">
        <v>0</v>
      </c>
      <c r="AO37" s="110">
        <v>0</v>
      </c>
      <c r="AP37" s="110">
        <v>0</v>
      </c>
      <c r="AQ37" s="110">
        <v>0</v>
      </c>
      <c r="AR37" s="110">
        <v>0</v>
      </c>
      <c r="AS37" s="110">
        <v>0</v>
      </c>
      <c r="AT37" s="110">
        <v>0</v>
      </c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31"/>
      <c r="BA37" s="30">
        <f t="shared" si="0"/>
        <v>0</v>
      </c>
      <c r="BB37" s="30"/>
      <c r="BC37" s="30"/>
      <c r="BD37" s="30"/>
      <c r="BE37" s="31"/>
    </row>
    <row r="38" spans="1:57" ht="12.75">
      <c r="A38" s="285" t="s">
        <v>354</v>
      </c>
      <c r="B38" s="30">
        <f>SUM(B31:B37)</f>
        <v>63717525</v>
      </c>
      <c r="C38" s="30">
        <f aca="true" t="shared" si="4" ref="C38:AY38">SUM(C31:C37)</f>
        <v>28158866</v>
      </c>
      <c r="D38" s="30">
        <f t="shared" si="4"/>
        <v>14399341.631000001</v>
      </c>
      <c r="E38" s="30">
        <f t="shared" si="4"/>
        <v>14455845</v>
      </c>
      <c r="F38" s="30">
        <f t="shared" si="4"/>
        <v>13710424</v>
      </c>
      <c r="G38" s="30">
        <f t="shared" si="4"/>
        <v>12164003</v>
      </c>
      <c r="H38" s="30">
        <f t="shared" si="4"/>
        <v>4571056</v>
      </c>
      <c r="I38" s="30">
        <f t="shared" si="4"/>
        <v>8676322</v>
      </c>
      <c r="J38" s="30">
        <f t="shared" si="4"/>
        <v>20768304</v>
      </c>
      <c r="K38" s="30">
        <f t="shared" si="4"/>
        <v>6350975</v>
      </c>
      <c r="L38" s="30">
        <f t="shared" si="4"/>
        <v>8177745</v>
      </c>
      <c r="M38" s="30">
        <f t="shared" si="4"/>
        <v>5687300</v>
      </c>
      <c r="N38" s="30">
        <f t="shared" si="4"/>
        <v>7165203</v>
      </c>
      <c r="O38" s="30">
        <f t="shared" si="4"/>
        <v>2401520</v>
      </c>
      <c r="P38" s="30">
        <f t="shared" si="4"/>
        <v>3947926</v>
      </c>
      <c r="Q38" s="30">
        <f t="shared" si="4"/>
        <v>2383237</v>
      </c>
      <c r="R38" s="30">
        <f t="shared" si="4"/>
        <v>6809873</v>
      </c>
      <c r="S38" s="30">
        <f t="shared" si="4"/>
        <v>5891933</v>
      </c>
      <c r="T38" s="30">
        <f t="shared" si="4"/>
        <v>2988626</v>
      </c>
      <c r="U38" s="30">
        <f t="shared" si="4"/>
        <v>6801513.975</v>
      </c>
      <c r="V38" s="30">
        <f t="shared" si="4"/>
        <v>906656</v>
      </c>
      <c r="W38" s="30">
        <f t="shared" si="4"/>
        <v>2600039</v>
      </c>
      <c r="X38" s="30">
        <f t="shared" si="4"/>
        <v>4951372</v>
      </c>
      <c r="Y38" s="30">
        <f t="shared" si="4"/>
        <v>4659698.263</v>
      </c>
      <c r="Z38" s="30">
        <f t="shared" si="4"/>
        <v>5027355</v>
      </c>
      <c r="AA38" s="30">
        <f t="shared" si="4"/>
        <v>1026688</v>
      </c>
      <c r="AB38" s="30">
        <f t="shared" si="4"/>
        <v>2340407</v>
      </c>
      <c r="AC38" s="30">
        <f t="shared" si="4"/>
        <v>2467797.729</v>
      </c>
      <c r="AD38" s="30">
        <f t="shared" si="4"/>
        <v>519034</v>
      </c>
      <c r="AE38" s="30">
        <f t="shared" si="4"/>
        <v>507381</v>
      </c>
      <c r="AF38" s="30">
        <f t="shared" si="4"/>
        <v>105595</v>
      </c>
      <c r="AG38" s="30">
        <f t="shared" si="4"/>
        <v>966755</v>
      </c>
      <c r="AH38" s="30">
        <f t="shared" si="4"/>
        <v>1942067</v>
      </c>
      <c r="AI38" s="30">
        <f t="shared" si="4"/>
        <v>390863</v>
      </c>
      <c r="AJ38" s="30">
        <f t="shared" si="4"/>
        <v>865285</v>
      </c>
      <c r="AK38" s="30">
        <f t="shared" si="4"/>
        <v>149203</v>
      </c>
      <c r="AL38" s="30">
        <f t="shared" si="4"/>
        <v>520130.767</v>
      </c>
      <c r="AM38" s="30">
        <f t="shared" si="4"/>
        <v>486252</v>
      </c>
      <c r="AN38" s="30">
        <f t="shared" si="4"/>
        <v>361291</v>
      </c>
      <c r="AO38" s="30">
        <f t="shared" si="4"/>
        <v>414563</v>
      </c>
      <c r="AP38" s="30">
        <f t="shared" si="4"/>
        <v>258518</v>
      </c>
      <c r="AQ38" s="30">
        <f t="shared" si="4"/>
        <v>63339</v>
      </c>
      <c r="AR38" s="30">
        <f t="shared" si="4"/>
        <v>306583</v>
      </c>
      <c r="AS38" s="30">
        <f t="shared" si="4"/>
        <v>269309</v>
      </c>
      <c r="AT38" s="30">
        <f t="shared" si="4"/>
        <v>1500</v>
      </c>
      <c r="AU38" s="30">
        <f t="shared" si="4"/>
        <v>167489</v>
      </c>
      <c r="AV38" s="30">
        <f t="shared" si="4"/>
        <v>46899</v>
      </c>
      <c r="AW38" s="30">
        <f t="shared" si="4"/>
        <v>0</v>
      </c>
      <c r="AX38" s="30">
        <f t="shared" si="4"/>
        <v>0</v>
      </c>
      <c r="AY38" s="30">
        <f t="shared" si="4"/>
        <v>0</v>
      </c>
      <c r="AZ38" s="30"/>
      <c r="BA38" s="30">
        <f t="shared" si="0"/>
        <v>271549608.365</v>
      </c>
      <c r="BB38" s="30"/>
      <c r="BC38" s="30"/>
      <c r="BD38" s="30"/>
      <c r="BE38" s="31"/>
    </row>
    <row r="39" spans="1:57" ht="8.25" customHeight="1">
      <c r="A39" s="33"/>
      <c r="C39" s="178"/>
      <c r="D39" s="34"/>
      <c r="E39" s="34"/>
      <c r="F39" s="34"/>
      <c r="O39" s="42"/>
      <c r="Q39" s="34"/>
      <c r="R39" s="34"/>
      <c r="S39" s="193"/>
      <c r="T39" s="34"/>
      <c r="U39" s="34"/>
      <c r="V39" s="34"/>
      <c r="X39" s="34"/>
      <c r="AB39" s="34"/>
      <c r="AD39" s="42"/>
      <c r="AG39" s="34"/>
      <c r="AH39" s="34"/>
      <c r="AI39" s="34"/>
      <c r="AJ39" s="30"/>
      <c r="AM39" s="34"/>
      <c r="AO39" s="34"/>
      <c r="AP39" s="34"/>
      <c r="AQ39" s="34"/>
      <c r="AR39" s="34"/>
      <c r="AS39" s="34"/>
      <c r="AT39" s="34"/>
      <c r="AU39" s="34"/>
      <c r="AV39" s="34"/>
      <c r="AW39" s="34"/>
      <c r="BA39" s="30"/>
      <c r="BB39" s="30"/>
      <c r="BC39" s="30"/>
      <c r="BD39" s="30"/>
      <c r="BE39" s="31"/>
    </row>
    <row r="40" spans="1:57" ht="12.75">
      <c r="A40" s="32" t="s">
        <v>355</v>
      </c>
      <c r="B40" s="30">
        <f>+B28-B38</f>
        <v>-193487</v>
      </c>
      <c r="C40" s="30">
        <f>+C28-C38</f>
        <v>1576297</v>
      </c>
      <c r="D40" s="30">
        <f aca="true" t="shared" si="5" ref="D40:AY40">+D28-D38</f>
        <v>163313.25</v>
      </c>
      <c r="E40" s="30">
        <f t="shared" si="5"/>
        <v>85902</v>
      </c>
      <c r="F40" s="30">
        <f t="shared" si="5"/>
        <v>148106.7689999994</v>
      </c>
      <c r="G40" s="30">
        <f t="shared" si="5"/>
        <v>-381356</v>
      </c>
      <c r="H40" s="30">
        <f t="shared" si="5"/>
        <v>94324</v>
      </c>
      <c r="I40" s="30">
        <f t="shared" si="5"/>
        <v>-73064</v>
      </c>
      <c r="J40" s="30">
        <f t="shared" si="5"/>
        <v>132216</v>
      </c>
      <c r="K40" s="30">
        <f t="shared" si="5"/>
        <v>35136</v>
      </c>
      <c r="L40" s="30">
        <f t="shared" si="5"/>
        <v>-182587</v>
      </c>
      <c r="M40" s="30">
        <f t="shared" si="5"/>
        <v>-13829</v>
      </c>
      <c r="N40" s="30">
        <f t="shared" si="5"/>
        <v>241499</v>
      </c>
      <c r="O40" s="30">
        <f t="shared" si="5"/>
        <v>-70827</v>
      </c>
      <c r="P40" s="30">
        <f t="shared" si="5"/>
        <v>-64516</v>
      </c>
      <c r="Q40" s="30">
        <f t="shared" si="5"/>
        <v>274.39999999990687</v>
      </c>
      <c r="R40" s="30">
        <f t="shared" si="5"/>
        <v>-68059</v>
      </c>
      <c r="S40" s="30">
        <f t="shared" si="5"/>
        <v>0</v>
      </c>
      <c r="T40" s="30">
        <f t="shared" si="5"/>
        <v>68129</v>
      </c>
      <c r="U40" s="30">
        <f t="shared" si="5"/>
        <v>-36351.1110000005</v>
      </c>
      <c r="V40" s="30">
        <f t="shared" si="5"/>
        <v>8261</v>
      </c>
      <c r="W40" s="30">
        <f t="shared" si="5"/>
        <v>-309982</v>
      </c>
      <c r="X40" s="30">
        <f t="shared" si="5"/>
        <v>-11084</v>
      </c>
      <c r="Y40" s="30">
        <f t="shared" si="5"/>
        <v>27829.158999999054</v>
      </c>
      <c r="Z40" s="30">
        <f t="shared" si="5"/>
        <v>125542</v>
      </c>
      <c r="AA40" s="30">
        <f t="shared" si="5"/>
        <v>67782</v>
      </c>
      <c r="AB40" s="30">
        <f t="shared" si="5"/>
        <v>-15989</v>
      </c>
      <c r="AC40" s="30">
        <f t="shared" si="5"/>
        <v>-154243.92400000012</v>
      </c>
      <c r="AD40" s="30">
        <f t="shared" si="5"/>
        <v>-2927</v>
      </c>
      <c r="AE40" s="30">
        <f t="shared" si="5"/>
        <v>-10339</v>
      </c>
      <c r="AF40" s="30">
        <f t="shared" si="5"/>
        <v>382610</v>
      </c>
      <c r="AG40" s="30">
        <f t="shared" si="5"/>
        <v>-2799</v>
      </c>
      <c r="AH40" s="30">
        <f t="shared" si="5"/>
        <v>970</v>
      </c>
      <c r="AI40" s="30">
        <f t="shared" si="5"/>
        <v>-6378</v>
      </c>
      <c r="AJ40" s="30">
        <f t="shared" si="5"/>
        <v>2546</v>
      </c>
      <c r="AK40" s="30">
        <f t="shared" si="5"/>
        <v>20491</v>
      </c>
      <c r="AL40" s="30">
        <f t="shared" si="5"/>
        <v>-5950.306999999913</v>
      </c>
      <c r="AM40" s="30">
        <f t="shared" si="5"/>
        <v>2684</v>
      </c>
      <c r="AN40" s="30">
        <f t="shared" si="5"/>
        <v>15153</v>
      </c>
      <c r="AO40" s="30">
        <f t="shared" si="5"/>
        <v>1832</v>
      </c>
      <c r="AP40" s="30">
        <f t="shared" si="5"/>
        <v>1128</v>
      </c>
      <c r="AQ40" s="30">
        <f t="shared" si="5"/>
        <v>660</v>
      </c>
      <c r="AR40" s="30">
        <f t="shared" si="5"/>
        <v>26576</v>
      </c>
      <c r="AS40" s="30">
        <f t="shared" si="5"/>
        <v>3481</v>
      </c>
      <c r="AT40" s="30">
        <f t="shared" si="5"/>
        <v>23158.557</v>
      </c>
      <c r="AU40" s="30">
        <f t="shared" si="5"/>
        <v>1263</v>
      </c>
      <c r="AV40" s="30">
        <f t="shared" si="5"/>
        <v>3720</v>
      </c>
      <c r="AW40" s="30">
        <f t="shared" si="5"/>
        <v>4831</v>
      </c>
      <c r="AX40" s="30">
        <f t="shared" si="5"/>
        <v>2621.0220000000045</v>
      </c>
      <c r="AY40" s="30">
        <f t="shared" si="5"/>
        <v>-1444</v>
      </c>
      <c r="AZ40" s="30"/>
      <c r="BA40" s="30">
        <f t="shared" si="0"/>
        <v>1663123.8149999978</v>
      </c>
      <c r="BB40" s="30"/>
      <c r="BC40" s="30"/>
      <c r="BD40" s="30"/>
      <c r="BE40" s="31"/>
    </row>
    <row r="41" spans="1:57" ht="8.25" customHeight="1">
      <c r="A41" s="32"/>
      <c r="C41" s="180"/>
      <c r="D41" s="34"/>
      <c r="E41" s="34"/>
      <c r="F41" s="34"/>
      <c r="O41" s="42"/>
      <c r="Q41" s="34"/>
      <c r="R41" s="34"/>
      <c r="S41" s="192"/>
      <c r="T41" s="34"/>
      <c r="U41" s="34"/>
      <c r="V41" s="34"/>
      <c r="X41" s="34"/>
      <c r="AB41" s="34"/>
      <c r="AD41" s="42"/>
      <c r="AG41" s="34"/>
      <c r="AH41" s="34"/>
      <c r="AI41" s="34"/>
      <c r="AJ41" s="30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BA41" s="30"/>
      <c r="BB41" s="30"/>
      <c r="BC41" s="30"/>
      <c r="BD41" s="30"/>
      <c r="BE41" s="31"/>
    </row>
    <row r="42" spans="1:57" ht="12.75">
      <c r="A42" s="32" t="s">
        <v>356</v>
      </c>
      <c r="B42" s="30">
        <v>794342</v>
      </c>
      <c r="C42" s="178">
        <v>1337458</v>
      </c>
      <c r="D42" s="110">
        <v>562161</v>
      </c>
      <c r="E42" s="30">
        <v>296834</v>
      </c>
      <c r="F42" s="30">
        <v>333703</v>
      </c>
      <c r="G42" s="30">
        <v>1023886</v>
      </c>
      <c r="H42" s="30">
        <v>281195</v>
      </c>
      <c r="I42" s="30">
        <v>201506</v>
      </c>
      <c r="J42" s="30">
        <v>319030</v>
      </c>
      <c r="K42" s="30">
        <v>151036</v>
      </c>
      <c r="L42" s="30">
        <v>485226</v>
      </c>
      <c r="M42" s="30">
        <v>198797</v>
      </c>
      <c r="N42" s="30">
        <v>134572</v>
      </c>
      <c r="O42" s="30">
        <v>75239</v>
      </c>
      <c r="P42" s="30">
        <v>185615</v>
      </c>
      <c r="Q42" s="30">
        <v>2417</v>
      </c>
      <c r="R42" s="30">
        <v>121716</v>
      </c>
      <c r="S42" s="101">
        <v>0</v>
      </c>
      <c r="T42" s="30">
        <v>18640</v>
      </c>
      <c r="U42" s="30">
        <v>75240.259</v>
      </c>
      <c r="V42" s="30">
        <v>133369</v>
      </c>
      <c r="W42" s="30">
        <v>346714</v>
      </c>
      <c r="X42" s="30">
        <v>22489</v>
      </c>
      <c r="Y42" s="30">
        <v>14235.581</v>
      </c>
      <c r="Z42" s="30">
        <v>43292</v>
      </c>
      <c r="AA42" s="30">
        <v>119729</v>
      </c>
      <c r="AB42" s="30">
        <v>120605</v>
      </c>
      <c r="AC42" s="30">
        <v>213343.305</v>
      </c>
      <c r="AD42" s="30">
        <v>8194</v>
      </c>
      <c r="AE42" s="30">
        <v>11947</v>
      </c>
      <c r="AF42" s="30">
        <v>814645</v>
      </c>
      <c r="AG42" s="30">
        <v>20435</v>
      </c>
      <c r="AH42" s="30">
        <v>1128</v>
      </c>
      <c r="AI42" s="30">
        <v>36188</v>
      </c>
      <c r="AJ42" s="30">
        <v>4527</v>
      </c>
      <c r="AK42" s="30">
        <v>36291</v>
      </c>
      <c r="AL42" s="30">
        <v>11636.689</v>
      </c>
      <c r="AM42" s="30">
        <v>259</v>
      </c>
      <c r="AN42" s="30">
        <v>1422</v>
      </c>
      <c r="AO42" s="30">
        <v>237</v>
      </c>
      <c r="AP42" s="30">
        <v>820</v>
      </c>
      <c r="AQ42" s="30">
        <v>-294</v>
      </c>
      <c r="AR42" s="30">
        <v>44719</v>
      </c>
      <c r="AS42" s="30">
        <v>284</v>
      </c>
      <c r="AT42" s="30">
        <v>18572.457</v>
      </c>
      <c r="AU42" s="30">
        <v>7151</v>
      </c>
      <c r="AV42" s="30">
        <v>2851</v>
      </c>
      <c r="AW42" s="30">
        <v>38111</v>
      </c>
      <c r="AX42" s="30">
        <v>40023.162</v>
      </c>
      <c r="AY42" s="30">
        <v>1818</v>
      </c>
      <c r="AZ42" s="30"/>
      <c r="BA42" s="30">
        <f t="shared" si="0"/>
        <v>8713355.453</v>
      </c>
      <c r="BB42" s="30"/>
      <c r="BC42" s="30"/>
      <c r="BD42" s="30"/>
      <c r="BE42" s="31"/>
    </row>
    <row r="43" spans="1:57" ht="12.75" customHeight="1">
      <c r="A43" s="33"/>
      <c r="C43" s="181"/>
      <c r="D43" s="34"/>
      <c r="E43" s="34"/>
      <c r="F43" s="34"/>
      <c r="O43" s="42"/>
      <c r="Q43" s="34"/>
      <c r="R43" s="34"/>
      <c r="S43" s="94"/>
      <c r="T43" s="34"/>
      <c r="U43" s="34"/>
      <c r="V43" s="34"/>
      <c r="W43" s="41">
        <v>0</v>
      </c>
      <c r="X43" s="34"/>
      <c r="AB43" s="34"/>
      <c r="AD43" s="42"/>
      <c r="AG43" s="34"/>
      <c r="AH43" s="34"/>
      <c r="AI43" s="34"/>
      <c r="AJ43" s="30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BA43" s="30"/>
      <c r="BB43" s="30"/>
      <c r="BC43" s="30"/>
      <c r="BD43" s="30"/>
      <c r="BE43" s="31"/>
    </row>
    <row r="44" spans="1:57" ht="12.75">
      <c r="A44" s="32" t="s">
        <v>357</v>
      </c>
      <c r="B44" s="30">
        <f>+B40+B42</f>
        <v>600855</v>
      </c>
      <c r="C44" s="30">
        <f>+C40+C42</f>
        <v>2913755</v>
      </c>
      <c r="D44" s="30">
        <f aca="true" t="shared" si="6" ref="D44:AY44">+D40+D42</f>
        <v>725474.25</v>
      </c>
      <c r="E44" s="30">
        <f t="shared" si="6"/>
        <v>382736</v>
      </c>
      <c r="F44" s="30">
        <f t="shared" si="6"/>
        <v>481809.7689999994</v>
      </c>
      <c r="G44" s="30">
        <f t="shared" si="6"/>
        <v>642530</v>
      </c>
      <c r="H44" s="30">
        <f t="shared" si="6"/>
        <v>375519</v>
      </c>
      <c r="I44" s="30">
        <f t="shared" si="6"/>
        <v>128442</v>
      </c>
      <c r="J44" s="30">
        <f t="shared" si="6"/>
        <v>451246</v>
      </c>
      <c r="K44" s="30">
        <f t="shared" si="6"/>
        <v>186172</v>
      </c>
      <c r="L44" s="30">
        <f t="shared" si="6"/>
        <v>302639</v>
      </c>
      <c r="M44" s="30">
        <f t="shared" si="6"/>
        <v>184968</v>
      </c>
      <c r="N44" s="30">
        <f t="shared" si="6"/>
        <v>376071</v>
      </c>
      <c r="O44" s="30">
        <f t="shared" si="6"/>
        <v>4412</v>
      </c>
      <c r="P44" s="30">
        <f t="shared" si="6"/>
        <v>121099</v>
      </c>
      <c r="Q44" s="30">
        <f t="shared" si="6"/>
        <v>2691.399999999907</v>
      </c>
      <c r="R44" s="30">
        <f t="shared" si="6"/>
        <v>53657</v>
      </c>
      <c r="S44" s="30">
        <f t="shared" si="6"/>
        <v>0</v>
      </c>
      <c r="T44" s="30">
        <f t="shared" si="6"/>
        <v>86769</v>
      </c>
      <c r="U44" s="30">
        <f t="shared" si="6"/>
        <v>38889.147999999506</v>
      </c>
      <c r="V44" s="30">
        <f t="shared" si="6"/>
        <v>141630</v>
      </c>
      <c r="W44" s="30">
        <f t="shared" si="6"/>
        <v>36732</v>
      </c>
      <c r="X44" s="30">
        <f t="shared" si="6"/>
        <v>11405</v>
      </c>
      <c r="Y44" s="30">
        <f t="shared" si="6"/>
        <v>42064.73999999905</v>
      </c>
      <c r="Z44" s="30">
        <f t="shared" si="6"/>
        <v>168834</v>
      </c>
      <c r="AA44" s="30">
        <f t="shared" si="6"/>
        <v>187511</v>
      </c>
      <c r="AB44" s="30">
        <f t="shared" si="6"/>
        <v>104616</v>
      </c>
      <c r="AC44" s="30">
        <f t="shared" si="6"/>
        <v>59099.38099999988</v>
      </c>
      <c r="AD44" s="30">
        <f t="shared" si="6"/>
        <v>5267</v>
      </c>
      <c r="AE44" s="30">
        <f t="shared" si="6"/>
        <v>1608</v>
      </c>
      <c r="AF44" s="30">
        <f t="shared" si="6"/>
        <v>1197255</v>
      </c>
      <c r="AG44" s="30">
        <f t="shared" si="6"/>
        <v>17636</v>
      </c>
      <c r="AH44" s="30">
        <f t="shared" si="6"/>
        <v>2098</v>
      </c>
      <c r="AI44" s="30">
        <f t="shared" si="6"/>
        <v>29810</v>
      </c>
      <c r="AJ44" s="30">
        <f t="shared" si="6"/>
        <v>7073</v>
      </c>
      <c r="AK44" s="30">
        <f t="shared" si="6"/>
        <v>56782</v>
      </c>
      <c r="AL44" s="30">
        <f t="shared" si="6"/>
        <v>5686.382000000087</v>
      </c>
      <c r="AM44" s="30">
        <f t="shared" si="6"/>
        <v>2943</v>
      </c>
      <c r="AN44" s="30">
        <f t="shared" si="6"/>
        <v>16575</v>
      </c>
      <c r="AO44" s="30">
        <f t="shared" si="6"/>
        <v>2069</v>
      </c>
      <c r="AP44" s="30">
        <f t="shared" si="6"/>
        <v>1948</v>
      </c>
      <c r="AQ44" s="30">
        <f t="shared" si="6"/>
        <v>366</v>
      </c>
      <c r="AR44" s="30">
        <f t="shared" si="6"/>
        <v>71295</v>
      </c>
      <c r="AS44" s="30">
        <f t="shared" si="6"/>
        <v>3765</v>
      </c>
      <c r="AT44" s="30">
        <f t="shared" si="6"/>
        <v>41731.013999999996</v>
      </c>
      <c r="AU44" s="30">
        <f t="shared" si="6"/>
        <v>8414</v>
      </c>
      <c r="AV44" s="30">
        <f t="shared" si="6"/>
        <v>6571</v>
      </c>
      <c r="AW44" s="30">
        <f t="shared" si="6"/>
        <v>42942</v>
      </c>
      <c r="AX44" s="30">
        <f t="shared" si="6"/>
        <v>42644.184</v>
      </c>
      <c r="AY44" s="30">
        <f t="shared" si="6"/>
        <v>374</v>
      </c>
      <c r="AZ44" s="30"/>
      <c r="BA44" s="30">
        <f t="shared" si="0"/>
        <v>10376479.267999997</v>
      </c>
      <c r="BB44" s="30"/>
      <c r="BC44" s="30"/>
      <c r="BD44" s="30"/>
      <c r="BE44" s="31"/>
    </row>
    <row r="45" spans="18:56" ht="14.25" customHeight="1">
      <c r="R45" s="34"/>
      <c r="AJ45" s="30"/>
      <c r="BA45" s="30"/>
      <c r="BB45" s="30"/>
      <c r="BC45" s="30"/>
      <c r="BD45" s="30"/>
    </row>
    <row r="46" spans="2:57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8" ht="12.75">
      <c r="D48" s="41"/>
    </row>
    <row r="49" ht="12.75">
      <c r="D49" s="41"/>
    </row>
    <row r="50" spans="53:56" ht="12.75">
      <c r="BA50" s="30"/>
      <c r="BB50" s="30"/>
      <c r="BC50" s="30"/>
      <c r="BD50" s="30"/>
    </row>
    <row r="51" spans="53:56" ht="12.75">
      <c r="BA51" s="30"/>
      <c r="BB51" s="30"/>
      <c r="BC51" s="30"/>
      <c r="BD51" s="30"/>
    </row>
    <row r="52" spans="53:56" ht="12.75">
      <c r="BA52" s="30"/>
      <c r="BB52" s="30"/>
      <c r="BC52" s="30"/>
      <c r="BD52" s="30"/>
    </row>
    <row r="53" spans="53:56" ht="12.75">
      <c r="BA53" s="30"/>
      <c r="BB53" s="30"/>
      <c r="BC53" s="30"/>
      <c r="BD53" s="30"/>
    </row>
    <row r="54" spans="53:56" ht="12.75">
      <c r="BA54" s="30"/>
      <c r="BB54" s="30"/>
      <c r="BC54" s="30"/>
      <c r="BD54" s="30"/>
    </row>
    <row r="55" spans="53:56" ht="12.75">
      <c r="BA55" s="30"/>
      <c r="BB55" s="30"/>
      <c r="BC55" s="30"/>
      <c r="BD55" s="30"/>
    </row>
    <row r="56" spans="53:56" ht="12.75">
      <c r="BA56" s="30"/>
      <c r="BB56" s="30"/>
      <c r="BC56" s="30"/>
      <c r="BD56" s="30"/>
    </row>
    <row r="57" spans="53:56" ht="12.75">
      <c r="BA57" s="30"/>
      <c r="BB57" s="30"/>
      <c r="BC57" s="30"/>
      <c r="BD57" s="30"/>
    </row>
    <row r="58" spans="53:56" ht="12.75">
      <c r="BA58" s="30"/>
      <c r="BB58" s="30"/>
      <c r="BC58" s="30"/>
      <c r="BD58" s="30"/>
    </row>
    <row r="59" spans="53:56" ht="12.75">
      <c r="BA59" s="30"/>
      <c r="BB59" s="30"/>
      <c r="BC59" s="30"/>
      <c r="BD59" s="30"/>
    </row>
    <row r="60" spans="53:56" ht="12.75">
      <c r="BA60" s="30"/>
      <c r="BB60" s="30"/>
      <c r="BC60" s="30"/>
      <c r="BD60" s="30"/>
    </row>
    <row r="61" spans="55:56" ht="12.75">
      <c r="BC61" s="30"/>
      <c r="BD61" s="30"/>
    </row>
    <row r="62" spans="53:56" ht="12.75">
      <c r="BA62" s="30"/>
      <c r="BB62" s="30"/>
      <c r="BC62" s="30"/>
      <c r="BD62" s="30"/>
    </row>
    <row r="63" spans="53:56" ht="12.75">
      <c r="BA63" s="30"/>
      <c r="BB63" s="30"/>
      <c r="BC63" s="30"/>
      <c r="BD63" s="30"/>
    </row>
    <row r="64" spans="53:56" ht="12.75">
      <c r="BA64" s="86"/>
      <c r="BB64" s="86"/>
      <c r="BC64" s="30"/>
      <c r="BD64" s="30"/>
    </row>
    <row r="65" spans="53:56" ht="12.75">
      <c r="BA65" s="30"/>
      <c r="BB65" s="30"/>
      <c r="BC65" s="30"/>
      <c r="BD65" s="30"/>
    </row>
    <row r="66" spans="53:56" ht="12.75">
      <c r="BA66" s="30"/>
      <c r="BB66" s="30"/>
      <c r="BC66" s="30"/>
      <c r="BD66" s="30"/>
    </row>
    <row r="67" spans="53:56" ht="12.75">
      <c r="BA67" s="30"/>
      <c r="BB67" s="30"/>
      <c r="BC67" s="30"/>
      <c r="BD67" s="30"/>
    </row>
  </sheetData>
  <sheetProtection/>
  <printOptions/>
  <pageMargins left="0.4724409448818898" right="0.2362204724409449" top="1.1811023622047245" bottom="0.4724409448818898" header="0.5118110236220472" footer="0.5118110236220472"/>
  <pageSetup firstPageNumber="25" useFirstPageNumber="1" horizontalDpi="600" verticalDpi="600" orientation="portrait" paperSize="9" scale="98" r:id="rId1"/>
  <headerFooter alignWithMargins="0">
    <oddHeader>&amp;C&amp;"Times New Roman,Bold"&amp;14 3.3. SJÓÐSTREYMI ÁRIÐ 2003</oddHeader>
    <oddFooter>&amp;R&amp;"Times New Roman,Regular"&amp;P</oddFoot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O16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O115" sqref="BO115"/>
    </sheetView>
  </sheetViews>
  <sheetFormatPr defaultColWidth="9.140625" defaultRowHeight="11.25" customHeight="1" outlineLevelRow="1"/>
  <cols>
    <col min="1" max="1" width="28.00390625" style="205" customWidth="1"/>
    <col min="2" max="2" width="10.140625" style="205" customWidth="1"/>
    <col min="3" max="3" width="10.7109375" style="205" customWidth="1"/>
    <col min="4" max="4" width="10.140625" style="205" customWidth="1"/>
    <col min="5" max="5" width="8.7109375" style="205" customWidth="1"/>
    <col min="6" max="6" width="10.57421875" style="205" customWidth="1"/>
    <col min="7" max="8" width="10.140625" style="205" customWidth="1"/>
    <col min="9" max="9" width="10.57421875" style="205" customWidth="1"/>
    <col min="10" max="10" width="8.8515625" style="205" customWidth="1"/>
    <col min="11" max="13" width="10.00390625" style="205" customWidth="1"/>
    <col min="14" max="14" width="10.7109375" style="205" customWidth="1"/>
    <col min="15" max="15" width="10.140625" style="205" customWidth="1"/>
    <col min="16" max="16" width="9.8515625" style="205" customWidth="1"/>
    <col min="17" max="17" width="8.8515625" style="205" customWidth="1"/>
    <col min="18" max="18" width="10.28125" style="205" customWidth="1"/>
    <col min="19" max="19" width="9.57421875" style="205" customWidth="1"/>
    <col min="20" max="20" width="11.28125" style="205" customWidth="1"/>
    <col min="21" max="21" width="9.28125" style="205" customWidth="1"/>
    <col min="22" max="22" width="10.28125" style="205" customWidth="1"/>
    <col min="23" max="23" width="8.57421875" style="205" customWidth="1"/>
    <col min="24" max="26" width="10.00390625" style="205" customWidth="1"/>
    <col min="27" max="32" width="10.140625" style="205" customWidth="1"/>
    <col min="33" max="38" width="10.00390625" style="205" customWidth="1"/>
    <col min="39" max="39" width="11.00390625" style="205" bestFit="1" customWidth="1"/>
    <col min="40" max="40" width="8.8515625" style="205" customWidth="1"/>
    <col min="41" max="42" width="9.28125" style="205" customWidth="1"/>
    <col min="43" max="44" width="9.8515625" style="205" customWidth="1"/>
    <col min="45" max="45" width="9.28125" style="205" customWidth="1"/>
    <col min="46" max="46" width="10.8515625" style="205" customWidth="1"/>
    <col min="47" max="47" width="10.7109375" style="205" customWidth="1"/>
    <col min="48" max="50" width="9.28125" style="205" customWidth="1"/>
    <col min="51" max="51" width="10.28125" style="205" customWidth="1"/>
    <col min="52" max="52" width="9.8515625" style="205" customWidth="1"/>
    <col min="53" max="55" width="10.57421875" style="205" customWidth="1"/>
    <col min="56" max="56" width="12.7109375" style="205" customWidth="1"/>
    <col min="57" max="59" width="10.57421875" style="205" customWidth="1"/>
    <col min="60" max="60" width="9.140625" style="205" customWidth="1"/>
    <col min="61" max="61" width="10.140625" style="205" customWidth="1"/>
    <col min="62" max="62" width="11.28125" style="205" customWidth="1"/>
    <col min="63" max="63" width="2.140625" style="205" customWidth="1"/>
    <col min="64" max="64" width="10.28125" style="205" customWidth="1"/>
    <col min="65" max="65" width="10.421875" style="205" customWidth="1"/>
    <col min="66" max="66" width="2.57421875" style="205" customWidth="1"/>
    <col min="67" max="16384" width="9.140625" style="205" customWidth="1"/>
  </cols>
  <sheetData>
    <row r="1" spans="1:66" ht="11.25" customHeight="1">
      <c r="A1" s="39"/>
      <c r="B1" s="369" t="s">
        <v>71</v>
      </c>
      <c r="C1" s="369"/>
      <c r="D1" s="369"/>
      <c r="E1" s="369"/>
      <c r="F1" s="201" t="s">
        <v>71</v>
      </c>
      <c r="G1" s="201" t="s">
        <v>71</v>
      </c>
      <c r="H1" s="201" t="s">
        <v>71</v>
      </c>
      <c r="I1" s="369" t="s">
        <v>72</v>
      </c>
      <c r="J1" s="369"/>
      <c r="K1" s="201" t="s">
        <v>71</v>
      </c>
      <c r="L1" s="201" t="s">
        <v>73</v>
      </c>
      <c r="M1" s="201" t="s">
        <v>525</v>
      </c>
      <c r="N1" s="201" t="s">
        <v>75</v>
      </c>
      <c r="O1" s="201" t="s">
        <v>71</v>
      </c>
      <c r="P1" s="369" t="s">
        <v>71</v>
      </c>
      <c r="Q1" s="369"/>
      <c r="R1" s="369" t="s">
        <v>74</v>
      </c>
      <c r="S1" s="369"/>
      <c r="T1" s="201" t="s">
        <v>71</v>
      </c>
      <c r="U1" s="201" t="s">
        <v>71</v>
      </c>
      <c r="V1" s="369" t="s">
        <v>71</v>
      </c>
      <c r="W1" s="369" t="s">
        <v>71</v>
      </c>
      <c r="X1" s="201" t="s">
        <v>71</v>
      </c>
      <c r="Y1" s="201" t="s">
        <v>71</v>
      </c>
      <c r="Z1" s="201" t="s">
        <v>71</v>
      </c>
      <c r="AA1" s="201" t="s">
        <v>71</v>
      </c>
      <c r="AB1" s="201" t="s">
        <v>71</v>
      </c>
      <c r="AC1" s="201" t="s">
        <v>71</v>
      </c>
      <c r="AD1" s="201" t="s">
        <v>71</v>
      </c>
      <c r="AE1" s="201" t="s">
        <v>76</v>
      </c>
      <c r="AF1" s="201" t="s">
        <v>78</v>
      </c>
      <c r="AG1" s="369" t="s">
        <v>71</v>
      </c>
      <c r="AH1" s="369" t="s">
        <v>71</v>
      </c>
      <c r="AI1" s="201" t="s">
        <v>71</v>
      </c>
      <c r="AJ1" s="201" t="s">
        <v>71</v>
      </c>
      <c r="AK1" s="201" t="s">
        <v>80</v>
      </c>
      <c r="AL1" s="201" t="s">
        <v>79</v>
      </c>
      <c r="AM1" s="369" t="s">
        <v>71</v>
      </c>
      <c r="AN1" s="369" t="s">
        <v>71</v>
      </c>
      <c r="AO1" s="201" t="s">
        <v>71</v>
      </c>
      <c r="AP1" s="201" t="s">
        <v>71</v>
      </c>
      <c r="AQ1" s="201" t="s">
        <v>71</v>
      </c>
      <c r="AR1" s="201" t="s">
        <v>71</v>
      </c>
      <c r="AS1" s="201" t="s">
        <v>71</v>
      </c>
      <c r="AT1" s="201" t="s">
        <v>79</v>
      </c>
      <c r="AU1" s="201" t="s">
        <v>79</v>
      </c>
      <c r="AV1" s="201" t="s">
        <v>71</v>
      </c>
      <c r="AW1" s="201" t="s">
        <v>71</v>
      </c>
      <c r="AX1" s="201" t="s">
        <v>71</v>
      </c>
      <c r="AY1" s="201" t="s">
        <v>79</v>
      </c>
      <c r="AZ1" s="201" t="s">
        <v>79</v>
      </c>
      <c r="BA1" s="201" t="s">
        <v>79</v>
      </c>
      <c r="BB1" s="201" t="s">
        <v>71</v>
      </c>
      <c r="BC1" s="201" t="s">
        <v>77</v>
      </c>
      <c r="BD1" s="201" t="s">
        <v>71</v>
      </c>
      <c r="BE1" s="201" t="s">
        <v>71</v>
      </c>
      <c r="BF1" s="201" t="s">
        <v>79</v>
      </c>
      <c r="BG1" s="201" t="s">
        <v>71</v>
      </c>
      <c r="BH1" s="201" t="s">
        <v>71</v>
      </c>
      <c r="BJ1" s="201"/>
      <c r="BK1" s="201"/>
      <c r="BL1" s="201" t="s">
        <v>71</v>
      </c>
      <c r="BM1" s="201" t="s">
        <v>71</v>
      </c>
      <c r="BN1" s="201"/>
    </row>
    <row r="2" spans="1:66" ht="11.25" customHeight="1">
      <c r="A2" s="206" t="s">
        <v>64</v>
      </c>
      <c r="B2" s="369" t="s">
        <v>401</v>
      </c>
      <c r="C2" s="369"/>
      <c r="D2" s="369"/>
      <c r="E2" s="369"/>
      <c r="F2" s="201" t="s">
        <v>82</v>
      </c>
      <c r="G2" s="201" t="s">
        <v>84</v>
      </c>
      <c r="H2" s="201" t="s">
        <v>86</v>
      </c>
      <c r="I2" s="369" t="s">
        <v>85</v>
      </c>
      <c r="J2" s="369"/>
      <c r="K2" s="201" t="s">
        <v>87</v>
      </c>
      <c r="L2" s="201" t="s">
        <v>85</v>
      </c>
      <c r="M2" s="201" t="s">
        <v>97</v>
      </c>
      <c r="N2" s="201" t="s">
        <v>85</v>
      </c>
      <c r="O2" s="201" t="s">
        <v>89</v>
      </c>
      <c r="P2" s="369" t="s">
        <v>88</v>
      </c>
      <c r="Q2" s="369" t="s">
        <v>88</v>
      </c>
      <c r="R2" s="369" t="s">
        <v>85</v>
      </c>
      <c r="S2" s="369" t="s">
        <v>85</v>
      </c>
      <c r="T2" s="201" t="s">
        <v>90</v>
      </c>
      <c r="U2" s="201" t="s">
        <v>92</v>
      </c>
      <c r="V2" s="369" t="s">
        <v>91</v>
      </c>
      <c r="W2" s="369" t="s">
        <v>91</v>
      </c>
      <c r="X2" s="201" t="s">
        <v>95</v>
      </c>
      <c r="Y2" s="201" t="s">
        <v>94</v>
      </c>
      <c r="Z2" s="201" t="s">
        <v>98</v>
      </c>
      <c r="AA2" s="201" t="s">
        <v>96</v>
      </c>
      <c r="AB2" s="201" t="s">
        <v>93</v>
      </c>
      <c r="AC2" s="201" t="s">
        <v>102</v>
      </c>
      <c r="AD2" s="201" t="s">
        <v>99</v>
      </c>
      <c r="AE2" s="201" t="s">
        <v>100</v>
      </c>
      <c r="AF2" s="201" t="s">
        <v>85</v>
      </c>
      <c r="AG2" s="369" t="s">
        <v>102</v>
      </c>
      <c r="AH2" s="369" t="s">
        <v>102</v>
      </c>
      <c r="AI2" s="201" t="s">
        <v>102</v>
      </c>
      <c r="AJ2" s="201" t="s">
        <v>103</v>
      </c>
      <c r="AK2" s="201" t="s">
        <v>85</v>
      </c>
      <c r="AL2" s="201" t="s">
        <v>102</v>
      </c>
      <c r="AM2" s="369" t="s">
        <v>104</v>
      </c>
      <c r="AN2" s="369" t="s">
        <v>104</v>
      </c>
      <c r="AO2" s="201" t="s">
        <v>107</v>
      </c>
      <c r="AP2" s="201" t="s">
        <v>106</v>
      </c>
      <c r="AQ2" s="201" t="s">
        <v>105</v>
      </c>
      <c r="AR2" s="201" t="s">
        <v>109</v>
      </c>
      <c r="AS2" s="201" t="s">
        <v>112</v>
      </c>
      <c r="AT2" s="201" t="s">
        <v>110</v>
      </c>
      <c r="AU2" s="201" t="s">
        <v>108</v>
      </c>
      <c r="AV2" s="201" t="s">
        <v>111</v>
      </c>
      <c r="AW2" s="201" t="s">
        <v>113</v>
      </c>
      <c r="AX2" s="201" t="s">
        <v>114</v>
      </c>
      <c r="AY2" s="201" t="s">
        <v>116</v>
      </c>
      <c r="AZ2" s="201" t="s">
        <v>115</v>
      </c>
      <c r="BA2" s="201" t="s">
        <v>117</v>
      </c>
      <c r="BB2" s="201" t="s">
        <v>102</v>
      </c>
      <c r="BC2" s="201" t="s">
        <v>101</v>
      </c>
      <c r="BD2" s="201" t="s">
        <v>422</v>
      </c>
      <c r="BE2" s="201" t="s">
        <v>118</v>
      </c>
      <c r="BF2" s="201" t="s">
        <v>119</v>
      </c>
      <c r="BG2" s="201" t="s">
        <v>120</v>
      </c>
      <c r="BH2" s="201" t="s">
        <v>121</v>
      </c>
      <c r="BJ2" s="201" t="s">
        <v>122</v>
      </c>
      <c r="BK2" s="201"/>
      <c r="BL2" s="201" t="s">
        <v>123</v>
      </c>
      <c r="BM2" s="201" t="s">
        <v>124</v>
      </c>
      <c r="BN2" s="201"/>
    </row>
    <row r="3" spans="1:66" ht="11.25" customHeight="1">
      <c r="A3" s="39"/>
      <c r="B3" s="211" t="s">
        <v>400</v>
      </c>
      <c r="C3" s="211" t="s">
        <v>400</v>
      </c>
      <c r="D3" s="211" t="s">
        <v>400</v>
      </c>
      <c r="E3" s="211" t="s">
        <v>400</v>
      </c>
      <c r="F3" s="201" t="s">
        <v>130</v>
      </c>
      <c r="G3" s="210"/>
      <c r="H3" s="210"/>
      <c r="I3" s="369" t="s">
        <v>101</v>
      </c>
      <c r="J3" s="369"/>
      <c r="K3" s="201" t="s">
        <v>402</v>
      </c>
      <c r="L3" s="201" t="s">
        <v>129</v>
      </c>
      <c r="M3" s="201"/>
      <c r="N3" s="201" t="s">
        <v>101</v>
      </c>
      <c r="O3" s="210"/>
      <c r="P3" s="369" t="s">
        <v>130</v>
      </c>
      <c r="Q3" s="369" t="s">
        <v>130</v>
      </c>
      <c r="R3" s="369" t="s">
        <v>101</v>
      </c>
      <c r="S3" s="369" t="s">
        <v>101</v>
      </c>
      <c r="T3" s="201" t="s">
        <v>128</v>
      </c>
      <c r="U3" s="201" t="s">
        <v>59</v>
      </c>
      <c r="V3" s="369" t="s">
        <v>131</v>
      </c>
      <c r="W3" s="369" t="s">
        <v>131</v>
      </c>
      <c r="X3" s="201" t="s">
        <v>133</v>
      </c>
      <c r="Y3" s="201" t="s">
        <v>132</v>
      </c>
      <c r="Z3" s="201" t="s">
        <v>135</v>
      </c>
      <c r="AA3" s="201" t="s">
        <v>403</v>
      </c>
      <c r="AB3" s="201" t="s">
        <v>59</v>
      </c>
      <c r="AC3" s="201" t="s">
        <v>139</v>
      </c>
      <c r="AD3" s="201" t="s">
        <v>402</v>
      </c>
      <c r="AE3" s="201" t="s">
        <v>136</v>
      </c>
      <c r="AF3" s="201" t="s">
        <v>101</v>
      </c>
      <c r="AG3" s="369" t="s">
        <v>144</v>
      </c>
      <c r="AH3" s="369" t="s">
        <v>144</v>
      </c>
      <c r="AI3" s="201" t="s">
        <v>137</v>
      </c>
      <c r="AJ3" s="201"/>
      <c r="AK3" s="201" t="s">
        <v>101</v>
      </c>
      <c r="AL3" s="201" t="s">
        <v>141</v>
      </c>
      <c r="AM3" s="369" t="s">
        <v>404</v>
      </c>
      <c r="AN3" s="369" t="s">
        <v>404</v>
      </c>
      <c r="AO3" s="201"/>
      <c r="AP3" s="201" t="s">
        <v>143</v>
      </c>
      <c r="AQ3" s="201" t="s">
        <v>142</v>
      </c>
      <c r="AR3" s="201" t="s">
        <v>395</v>
      </c>
      <c r="AS3" s="201" t="s">
        <v>142</v>
      </c>
      <c r="AT3" s="201" t="s">
        <v>146</v>
      </c>
      <c r="AU3" s="201" t="s">
        <v>145</v>
      </c>
      <c r="AV3" s="201" t="s">
        <v>147</v>
      </c>
      <c r="AW3" s="201" t="s">
        <v>149</v>
      </c>
      <c r="AX3" s="201" t="s">
        <v>150</v>
      </c>
      <c r="AY3" s="201" t="s">
        <v>151</v>
      </c>
      <c r="AZ3" s="201" t="s">
        <v>103</v>
      </c>
      <c r="BA3" s="201" t="s">
        <v>152</v>
      </c>
      <c r="BB3" s="201" t="s">
        <v>153</v>
      </c>
      <c r="BC3" s="201" t="s">
        <v>154</v>
      </c>
      <c r="BD3" s="201" t="s">
        <v>421</v>
      </c>
      <c r="BE3" s="201" t="s">
        <v>155</v>
      </c>
      <c r="BF3" s="201" t="s">
        <v>156</v>
      </c>
      <c r="BG3" s="201" t="s">
        <v>157</v>
      </c>
      <c r="BH3" s="201" t="s">
        <v>158</v>
      </c>
      <c r="BJ3" s="201" t="s">
        <v>159</v>
      </c>
      <c r="BK3" s="201"/>
      <c r="BL3" s="201" t="s">
        <v>160</v>
      </c>
      <c r="BM3" s="201" t="s">
        <v>160</v>
      </c>
      <c r="BN3" s="201"/>
    </row>
    <row r="4" spans="1:66" s="209" customFormat="1" ht="11.25" customHeight="1">
      <c r="A4" s="207"/>
      <c r="B4" s="370" t="s">
        <v>375</v>
      </c>
      <c r="C4" s="370"/>
      <c r="D4" s="370"/>
      <c r="E4" s="370"/>
      <c r="F4" s="208" t="s">
        <v>161</v>
      </c>
      <c r="G4" s="208" t="s">
        <v>166</v>
      </c>
      <c r="H4" s="208" t="s">
        <v>167</v>
      </c>
      <c r="I4" s="371" t="s">
        <v>170</v>
      </c>
      <c r="J4" s="371"/>
      <c r="K4" s="208" t="s">
        <v>171</v>
      </c>
      <c r="L4" s="208" t="s">
        <v>172</v>
      </c>
      <c r="M4" s="208" t="s">
        <v>173</v>
      </c>
      <c r="N4" s="208" t="s">
        <v>174</v>
      </c>
      <c r="O4" s="208" t="s">
        <v>175</v>
      </c>
      <c r="P4" s="371" t="s">
        <v>176</v>
      </c>
      <c r="Q4" s="371"/>
      <c r="R4" s="371" t="s">
        <v>177</v>
      </c>
      <c r="S4" s="371" t="s">
        <v>176</v>
      </c>
      <c r="T4" s="208" t="s">
        <v>178</v>
      </c>
      <c r="U4" s="208" t="s">
        <v>179</v>
      </c>
      <c r="V4" s="371" t="s">
        <v>180</v>
      </c>
      <c r="W4" s="369" t="s">
        <v>179</v>
      </c>
      <c r="X4" s="208" t="s">
        <v>181</v>
      </c>
      <c r="Y4" s="208" t="s">
        <v>182</v>
      </c>
      <c r="Z4" s="208" t="s">
        <v>183</v>
      </c>
      <c r="AA4" s="208" t="s">
        <v>184</v>
      </c>
      <c r="AB4" s="208" t="s">
        <v>185</v>
      </c>
      <c r="AC4" s="208" t="s">
        <v>186</v>
      </c>
      <c r="AD4" s="208" t="s">
        <v>187</v>
      </c>
      <c r="AE4" s="208" t="s">
        <v>517</v>
      </c>
      <c r="AF4" s="208" t="s">
        <v>188</v>
      </c>
      <c r="AG4" s="372" t="s">
        <v>189</v>
      </c>
      <c r="AH4" s="372" t="s">
        <v>192</v>
      </c>
      <c r="AI4" s="208" t="s">
        <v>190</v>
      </c>
      <c r="AJ4" s="208" t="s">
        <v>191</v>
      </c>
      <c r="AK4" s="208" t="s">
        <v>192</v>
      </c>
      <c r="AL4" s="208" t="s">
        <v>193</v>
      </c>
      <c r="AM4" s="372" t="s">
        <v>194</v>
      </c>
      <c r="AN4" s="373"/>
      <c r="AO4" s="208" t="s">
        <v>195</v>
      </c>
      <c r="AP4" s="208" t="s">
        <v>196</v>
      </c>
      <c r="AQ4" s="208" t="s">
        <v>199</v>
      </c>
      <c r="AR4" s="208" t="s">
        <v>200</v>
      </c>
      <c r="AS4" s="208" t="s">
        <v>201</v>
      </c>
      <c r="AT4" s="208" t="s">
        <v>202</v>
      </c>
      <c r="AU4" s="208" t="s">
        <v>203</v>
      </c>
      <c r="AV4" s="208" t="s">
        <v>205</v>
      </c>
      <c r="AW4" s="208" t="s">
        <v>206</v>
      </c>
      <c r="AX4" s="208" t="s">
        <v>207</v>
      </c>
      <c r="AY4" s="208" t="s">
        <v>208</v>
      </c>
      <c r="AZ4" s="208" t="s">
        <v>209</v>
      </c>
      <c r="BA4" s="208" t="s">
        <v>210</v>
      </c>
      <c r="BB4" s="208" t="s">
        <v>211</v>
      </c>
      <c r="BC4" s="208" t="s">
        <v>212</v>
      </c>
      <c r="BD4" s="208" t="s">
        <v>213</v>
      </c>
      <c r="BE4" s="208" t="s">
        <v>214</v>
      </c>
      <c r="BF4" s="208" t="s">
        <v>215</v>
      </c>
      <c r="BG4" s="208" t="s">
        <v>216</v>
      </c>
      <c r="BH4" s="208" t="s">
        <v>217</v>
      </c>
      <c r="BJ4" s="201"/>
      <c r="BK4" s="201"/>
      <c r="BL4" s="201"/>
      <c r="BM4" s="201"/>
      <c r="BN4" s="201"/>
    </row>
    <row r="5" spans="1:66" s="44" customFormat="1" ht="11.25" customHeight="1">
      <c r="A5" s="45"/>
      <c r="B5" s="45" t="s">
        <v>162</v>
      </c>
      <c r="C5" s="45" t="s">
        <v>163</v>
      </c>
      <c r="D5" s="45" t="s">
        <v>126</v>
      </c>
      <c r="E5" s="45" t="s">
        <v>127</v>
      </c>
      <c r="F5" s="45"/>
      <c r="G5" s="45"/>
      <c r="H5" s="45"/>
      <c r="I5" s="45" t="s">
        <v>168</v>
      </c>
      <c r="J5" s="45" t="s">
        <v>169</v>
      </c>
      <c r="K5" s="45"/>
      <c r="L5" s="45"/>
      <c r="M5" s="45"/>
      <c r="N5" s="45"/>
      <c r="O5" s="45"/>
      <c r="P5" s="45" t="s">
        <v>62</v>
      </c>
      <c r="Q5" s="45" t="s">
        <v>168</v>
      </c>
      <c r="R5" s="45" t="s">
        <v>168</v>
      </c>
      <c r="S5" s="45" t="s">
        <v>63</v>
      </c>
      <c r="T5" s="45" t="s">
        <v>364</v>
      </c>
      <c r="U5" s="45"/>
      <c r="V5" s="45" t="s">
        <v>408</v>
      </c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 t="s">
        <v>163</v>
      </c>
      <c r="AH5" s="45" t="s">
        <v>204</v>
      </c>
      <c r="AI5" s="45"/>
      <c r="AJ5" s="45"/>
      <c r="AK5" s="45"/>
      <c r="AL5" s="45"/>
      <c r="AM5" s="45" t="s">
        <v>197</v>
      </c>
      <c r="AN5" s="45" t="s">
        <v>198</v>
      </c>
      <c r="AO5" s="45"/>
      <c r="AP5" s="45"/>
      <c r="AQ5" s="45"/>
      <c r="AR5" s="3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J5" s="45" t="s">
        <v>522</v>
      </c>
      <c r="BK5" s="45"/>
      <c r="BL5" s="45" t="s">
        <v>558</v>
      </c>
      <c r="BM5" s="45" t="s">
        <v>559</v>
      </c>
      <c r="BN5" s="45"/>
    </row>
    <row r="6" spans="1:66" s="44" customFormat="1" ht="11.25" customHeight="1">
      <c r="A6" s="198"/>
      <c r="B6" s="35"/>
      <c r="C6" s="35"/>
      <c r="D6" s="45" t="s">
        <v>164</v>
      </c>
      <c r="E6" s="45" t="s">
        <v>165</v>
      </c>
      <c r="F6" s="45"/>
      <c r="G6" s="45"/>
      <c r="H6" s="45"/>
      <c r="I6" s="45"/>
      <c r="J6" s="45" t="s">
        <v>165</v>
      </c>
      <c r="K6" s="45"/>
      <c r="L6" s="45"/>
      <c r="M6" s="45"/>
      <c r="N6" s="45"/>
      <c r="O6" s="45"/>
      <c r="P6" s="45" t="s">
        <v>165</v>
      </c>
      <c r="Q6" s="45"/>
      <c r="R6" s="45"/>
      <c r="S6" s="45" t="s">
        <v>165</v>
      </c>
      <c r="T6" s="45" t="s">
        <v>165</v>
      </c>
      <c r="U6" s="45"/>
      <c r="V6" s="45" t="s">
        <v>416</v>
      </c>
      <c r="W6" s="45" t="s">
        <v>417</v>
      </c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J6" s="35"/>
      <c r="BK6" s="35"/>
      <c r="BL6" s="35"/>
      <c r="BM6" s="35"/>
      <c r="BN6" s="35"/>
    </row>
    <row r="7" spans="1:66" ht="13.5" customHeight="1">
      <c r="A7" s="241" t="s">
        <v>493</v>
      </c>
      <c r="B7" s="39"/>
      <c r="C7" s="39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J7" s="39"/>
      <c r="BK7" s="39"/>
      <c r="BL7" s="39"/>
      <c r="BM7" s="39"/>
      <c r="BN7" s="39"/>
    </row>
    <row r="8" spans="1:66" ht="14.25" customHeight="1">
      <c r="A8" s="241" t="s">
        <v>492</v>
      </c>
      <c r="B8" s="39"/>
      <c r="C8" s="3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J8" s="39"/>
      <c r="BK8" s="39"/>
      <c r="BL8" s="39"/>
      <c r="BM8" s="39"/>
      <c r="BN8" s="39"/>
    </row>
    <row r="9" spans="1:66" ht="11.25" customHeight="1" outlineLevel="1">
      <c r="A9" s="212" t="s">
        <v>273</v>
      </c>
      <c r="B9" s="39"/>
      <c r="C9" s="3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J9" s="39"/>
      <c r="BK9" s="39"/>
      <c r="BL9" s="39"/>
      <c r="BM9" s="39"/>
      <c r="BN9" s="39"/>
    </row>
    <row r="10" spans="1:66" ht="11.25" customHeight="1" outlineLevel="1">
      <c r="A10" s="214" t="s">
        <v>274</v>
      </c>
      <c r="B10" s="216">
        <v>882992</v>
      </c>
      <c r="C10" s="216">
        <v>1833312</v>
      </c>
      <c r="D10" s="216">
        <v>14812</v>
      </c>
      <c r="E10" s="216">
        <v>2064</v>
      </c>
      <c r="F10" s="216">
        <v>3097122</v>
      </c>
      <c r="G10" s="215">
        <v>1218861</v>
      </c>
      <c r="H10" s="215">
        <v>722969</v>
      </c>
      <c r="I10" s="215">
        <v>962225</v>
      </c>
      <c r="J10" s="215">
        <v>119677</v>
      </c>
      <c r="K10" s="215">
        <v>604583</v>
      </c>
      <c r="L10" s="215">
        <v>615979</v>
      </c>
      <c r="M10" s="216">
        <v>448416</v>
      </c>
      <c r="N10" s="216">
        <v>801900</v>
      </c>
      <c r="O10" s="216">
        <v>597977</v>
      </c>
      <c r="P10" s="216">
        <v>77857</v>
      </c>
      <c r="Q10" s="216">
        <v>208165</v>
      </c>
      <c r="R10" s="215">
        <v>141061</v>
      </c>
      <c r="S10" s="215">
        <v>135048</v>
      </c>
      <c r="T10" s="215">
        <v>373379</v>
      </c>
      <c r="U10" s="215">
        <v>300771</v>
      </c>
      <c r="V10" s="216">
        <v>228115</v>
      </c>
      <c r="W10" s="216">
        <v>0</v>
      </c>
      <c r="X10" s="215">
        <v>389241</v>
      </c>
      <c r="Y10" s="216">
        <v>347267</v>
      </c>
      <c r="Z10" s="291">
        <v>83637</v>
      </c>
      <c r="AA10" s="215">
        <v>186629</v>
      </c>
      <c r="AB10" s="215">
        <v>126083.514</v>
      </c>
      <c r="AC10" s="216">
        <v>134153</v>
      </c>
      <c r="AD10" s="215">
        <v>197548</v>
      </c>
      <c r="AE10" s="216">
        <v>89048</v>
      </c>
      <c r="AF10" s="215">
        <v>75185.746</v>
      </c>
      <c r="AG10" s="215">
        <v>496022</v>
      </c>
      <c r="AH10" s="215">
        <v>40111</v>
      </c>
      <c r="AI10" s="216">
        <v>23948</v>
      </c>
      <c r="AJ10" s="216">
        <v>143642</v>
      </c>
      <c r="AK10" s="216">
        <v>47236.247</v>
      </c>
      <c r="AL10" s="215">
        <v>0</v>
      </c>
      <c r="AM10" s="215">
        <v>0</v>
      </c>
      <c r="AN10" s="215">
        <v>0</v>
      </c>
      <c r="AO10" s="215">
        <v>51748</v>
      </c>
      <c r="AP10" s="216">
        <v>36922</v>
      </c>
      <c r="AQ10" s="216">
        <v>0</v>
      </c>
      <c r="AR10" s="216">
        <v>18557</v>
      </c>
      <c r="AS10" s="215">
        <v>13054</v>
      </c>
      <c r="AT10" s="216">
        <v>21686</v>
      </c>
      <c r="AU10" s="216">
        <v>0</v>
      </c>
      <c r="AV10" s="216">
        <v>0</v>
      </c>
      <c r="AW10" s="216">
        <f>21259+250</f>
        <v>21509</v>
      </c>
      <c r="AX10" s="216">
        <v>7364</v>
      </c>
      <c r="AY10" s="216">
        <v>0</v>
      </c>
      <c r="AZ10" s="216">
        <v>0</v>
      </c>
      <c r="BA10" s="216">
        <v>13577</v>
      </c>
      <c r="BB10" s="216">
        <v>0</v>
      </c>
      <c r="BC10" s="216">
        <v>0</v>
      </c>
      <c r="BD10" s="216">
        <v>2896</v>
      </c>
      <c r="BE10" s="216">
        <v>2190</v>
      </c>
      <c r="BF10" s="216">
        <v>0</v>
      </c>
      <c r="BG10" s="216">
        <v>4729</v>
      </c>
      <c r="BH10" s="216">
        <v>0</v>
      </c>
      <c r="BJ10" s="39">
        <f>SUM(B10:BH10)</f>
        <v>15961268.507</v>
      </c>
      <c r="BK10" s="39"/>
      <c r="BL10" s="39">
        <f>+B10+D10+E10+Z10+AC10+AL10+AN10+AR10+AT10+AW10+AX10+BA10+BD10+BE10+BF10+BG10</f>
        <v>1210166</v>
      </c>
      <c r="BM10" s="39">
        <f>+C10+F10+G10+H10+I10+J10+K10+L10+M10+N10+O10+P10+Q10+R10+S10+T10+U10+V10+W10+X10+Y10+AA10+AB10+AD10+AE10+AF10+AG10+AH10+AI10+AJ10+AK10+AM10+AO10+AP10+AQ10+AS10+AU10+AV10+AY10+AZ10+BB10+BC10+BH10</f>
        <v>14751102.507</v>
      </c>
      <c r="BN10" s="216"/>
    </row>
    <row r="11" spans="1:66" ht="11.25" customHeight="1" outlineLevel="1">
      <c r="A11" s="214" t="s">
        <v>275</v>
      </c>
      <c r="B11" s="216">
        <v>1489099</v>
      </c>
      <c r="C11" s="216">
        <v>5397166</v>
      </c>
      <c r="D11" s="216">
        <v>22229</v>
      </c>
      <c r="E11" s="216">
        <v>3085</v>
      </c>
      <c r="F11" s="215">
        <v>4493256</v>
      </c>
      <c r="G11" s="215">
        <v>1828292</v>
      </c>
      <c r="H11" s="215">
        <v>1084461</v>
      </c>
      <c r="I11" s="215">
        <v>1439064</v>
      </c>
      <c r="J11" s="215">
        <v>177953</v>
      </c>
      <c r="K11" s="215">
        <v>887731</v>
      </c>
      <c r="L11" s="215">
        <v>926707</v>
      </c>
      <c r="M11" s="216">
        <v>681532</v>
      </c>
      <c r="N11" s="216">
        <v>1201879</v>
      </c>
      <c r="O11" s="216">
        <v>871176</v>
      </c>
      <c r="P11" s="216">
        <v>283403</v>
      </c>
      <c r="Q11" s="216">
        <v>314607</v>
      </c>
      <c r="R11" s="215">
        <v>211566</v>
      </c>
      <c r="S11" s="215">
        <v>202578</v>
      </c>
      <c r="T11" s="215">
        <v>560069</v>
      </c>
      <c r="U11" s="215">
        <v>470008</v>
      </c>
      <c r="V11" s="216">
        <v>342173</v>
      </c>
      <c r="W11" s="216">
        <v>0</v>
      </c>
      <c r="X11" s="215">
        <v>762152</v>
      </c>
      <c r="Y11" s="215">
        <v>520900</v>
      </c>
      <c r="Z11" s="291">
        <v>139594</v>
      </c>
      <c r="AA11" s="215">
        <v>275955</v>
      </c>
      <c r="AB11" s="215">
        <v>243590.529</v>
      </c>
      <c r="AC11" s="215">
        <v>364072</v>
      </c>
      <c r="AD11" s="215">
        <v>295110</v>
      </c>
      <c r="AE11" s="215">
        <v>356191</v>
      </c>
      <c r="AF11" s="215">
        <v>112778.62</v>
      </c>
      <c r="AG11" s="215">
        <v>1426187</v>
      </c>
      <c r="AH11" s="215">
        <v>88908</v>
      </c>
      <c r="AI11" s="216">
        <v>89022</v>
      </c>
      <c r="AJ11" s="215">
        <v>215464</v>
      </c>
      <c r="AK11" s="216">
        <v>72371.253</v>
      </c>
      <c r="AL11" s="215">
        <v>289545</v>
      </c>
      <c r="AM11" s="215">
        <v>0</v>
      </c>
      <c r="AN11" s="215">
        <v>0</v>
      </c>
      <c r="AO11" s="215">
        <v>76298</v>
      </c>
      <c r="AP11" s="215">
        <v>55384</v>
      </c>
      <c r="AQ11" s="215">
        <v>0</v>
      </c>
      <c r="AR11" s="216">
        <v>27836</v>
      </c>
      <c r="AS11" s="215">
        <v>19579</v>
      </c>
      <c r="AT11" s="216">
        <v>55304</v>
      </c>
      <c r="AU11" s="216">
        <v>0</v>
      </c>
      <c r="AV11" s="215">
        <v>0</v>
      </c>
      <c r="AW11" s="215">
        <f>31888+74281+375</f>
        <v>106544</v>
      </c>
      <c r="AX11" s="215">
        <v>11046</v>
      </c>
      <c r="AY11" s="215">
        <v>0</v>
      </c>
      <c r="AZ11" s="215">
        <v>0</v>
      </c>
      <c r="BA11" s="215">
        <v>20366</v>
      </c>
      <c r="BB11" s="215">
        <v>0</v>
      </c>
      <c r="BC11" s="215">
        <v>0</v>
      </c>
      <c r="BD11" s="215">
        <v>4344</v>
      </c>
      <c r="BE11" s="215">
        <v>3285</v>
      </c>
      <c r="BF11" s="215">
        <v>0</v>
      </c>
      <c r="BG11" s="216">
        <v>7094</v>
      </c>
      <c r="BH11" s="216">
        <v>0</v>
      </c>
      <c r="BJ11" s="39">
        <f aca="true" t="shared" si="0" ref="BJ11:BJ65">SUM(B11:BH11)</f>
        <v>28526954.402</v>
      </c>
      <c r="BK11" s="39"/>
      <c r="BL11" s="39">
        <f aca="true" t="shared" si="1" ref="BL11:BL74">+B11+D11+E11+Z11+AC11+AL11+AN11+AR11+AT11+AW11+AX11+BA11+BD11+BE11+BF11+BG11</f>
        <v>2543443</v>
      </c>
      <c r="BM11" s="39">
        <f aca="true" t="shared" si="2" ref="BM11:BM74">+C11+F11+G11+H11+I11+J11+K11+L11+M11+N11+O11+P11+Q11+R11+S11+T11+U11+V11+W11+X11+Y11+AA11+AB11+AD11+AE11+AF11+AG11+AH11+AI11+AJ11+AK11+AM11+AO11+AP11+AQ11+AS11+AU11+AV11+AY11+AZ11+BB11+BC11+BH11</f>
        <v>25983511.402</v>
      </c>
      <c r="BN11" s="216"/>
    </row>
    <row r="12" spans="1:66" ht="11.25" customHeight="1" outlineLevel="1">
      <c r="A12" s="214" t="s">
        <v>276</v>
      </c>
      <c r="B12" s="216">
        <v>-25618</v>
      </c>
      <c r="C12" s="216">
        <v>5605</v>
      </c>
      <c r="D12" s="216">
        <v>0</v>
      </c>
      <c r="E12" s="216">
        <v>35845</v>
      </c>
      <c r="F12" s="215">
        <v>0</v>
      </c>
      <c r="G12" s="215">
        <v>-38349</v>
      </c>
      <c r="H12" s="215">
        <v>1343</v>
      </c>
      <c r="I12" s="215">
        <v>-641</v>
      </c>
      <c r="J12" s="215">
        <v>-5025</v>
      </c>
      <c r="K12" s="215">
        <v>-221</v>
      </c>
      <c r="L12" s="215">
        <v>-28935</v>
      </c>
      <c r="M12" s="216">
        <v>-7069</v>
      </c>
      <c r="N12" s="216">
        <v>-1205528</v>
      </c>
      <c r="O12" s="216">
        <v>8288</v>
      </c>
      <c r="P12" s="216">
        <v>-193</v>
      </c>
      <c r="Q12" s="216">
        <v>855</v>
      </c>
      <c r="R12" s="215">
        <v>-5501</v>
      </c>
      <c r="S12" s="215">
        <v>0</v>
      </c>
      <c r="T12" s="215">
        <v>-948</v>
      </c>
      <c r="U12" s="215">
        <v>-2538</v>
      </c>
      <c r="V12" s="216">
        <v>-4851</v>
      </c>
      <c r="W12" s="216">
        <v>0</v>
      </c>
      <c r="X12" s="215">
        <v>-8359</v>
      </c>
      <c r="Y12" s="215">
        <v>-2634</v>
      </c>
      <c r="Z12" s="291">
        <v>16</v>
      </c>
      <c r="AA12" s="215">
        <v>-2493</v>
      </c>
      <c r="AB12" s="215">
        <v>3495.992</v>
      </c>
      <c r="AC12" s="215">
        <v>-3504</v>
      </c>
      <c r="AD12" s="215">
        <v>-10878</v>
      </c>
      <c r="AE12" s="215">
        <v>0</v>
      </c>
      <c r="AF12" s="215">
        <v>0</v>
      </c>
      <c r="AG12" s="215">
        <v>3421</v>
      </c>
      <c r="AH12" s="215">
        <v>369</v>
      </c>
      <c r="AI12" s="216">
        <v>0</v>
      </c>
      <c r="AJ12" s="215">
        <v>-8045</v>
      </c>
      <c r="AK12" s="216">
        <v>0</v>
      </c>
      <c r="AL12" s="215">
        <v>-10942</v>
      </c>
      <c r="AM12" s="215">
        <v>-772</v>
      </c>
      <c r="AN12" s="215">
        <v>0</v>
      </c>
      <c r="AO12" s="215">
        <v>-4224</v>
      </c>
      <c r="AP12" s="215">
        <v>167</v>
      </c>
      <c r="AQ12" s="215">
        <v>0</v>
      </c>
      <c r="AR12" s="216">
        <v>583</v>
      </c>
      <c r="AS12" s="215">
        <v>0</v>
      </c>
      <c r="AT12" s="215">
        <v>0</v>
      </c>
      <c r="AU12" s="216">
        <v>0</v>
      </c>
      <c r="AV12" s="215">
        <v>-273</v>
      </c>
      <c r="AW12" s="215">
        <v>-243</v>
      </c>
      <c r="AX12" s="215">
        <v>-80</v>
      </c>
      <c r="AY12" s="215">
        <v>0</v>
      </c>
      <c r="AZ12" s="215">
        <v>-624</v>
      </c>
      <c r="BA12" s="215">
        <v>-159</v>
      </c>
      <c r="BB12" s="215">
        <v>0</v>
      </c>
      <c r="BC12" s="215">
        <v>-0.312</v>
      </c>
      <c r="BD12" s="215">
        <v>0</v>
      </c>
      <c r="BE12" s="215">
        <v>-82</v>
      </c>
      <c r="BF12" s="215">
        <v>0</v>
      </c>
      <c r="BG12" s="216">
        <v>0</v>
      </c>
      <c r="BH12" s="216">
        <v>0</v>
      </c>
      <c r="BJ12" s="39">
        <f t="shared" si="0"/>
        <v>-1318741.3199999998</v>
      </c>
      <c r="BK12" s="39"/>
      <c r="BL12" s="39">
        <f t="shared" si="1"/>
        <v>-4184</v>
      </c>
      <c r="BM12" s="39">
        <f t="shared" si="2"/>
        <v>-1314557.3199999998</v>
      </c>
      <c r="BN12" s="216"/>
    </row>
    <row r="13" spans="1:66" ht="11.25" customHeight="1" outlineLevel="1">
      <c r="A13" s="214" t="s">
        <v>277</v>
      </c>
      <c r="B13" s="216">
        <v>13267697</v>
      </c>
      <c r="C13" s="216">
        <v>0</v>
      </c>
      <c r="D13" s="216">
        <v>246788</v>
      </c>
      <c r="E13" s="216">
        <v>4316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6">
        <v>0</v>
      </c>
      <c r="N13" s="205">
        <v>0</v>
      </c>
      <c r="O13" s="216">
        <v>0</v>
      </c>
      <c r="P13" s="216">
        <v>0</v>
      </c>
      <c r="Q13" s="216">
        <v>0</v>
      </c>
      <c r="R13" s="216">
        <v>0</v>
      </c>
      <c r="S13" s="216">
        <v>0</v>
      </c>
      <c r="T13" s="216">
        <v>0</v>
      </c>
      <c r="U13" s="216">
        <v>0</v>
      </c>
      <c r="V13" s="216">
        <v>0</v>
      </c>
      <c r="W13" s="216">
        <v>0</v>
      </c>
      <c r="X13" s="216">
        <v>0</v>
      </c>
      <c r="Y13" s="216">
        <v>0</v>
      </c>
      <c r="Z13" s="291">
        <v>1241902</v>
      </c>
      <c r="AA13" s="215">
        <v>0</v>
      </c>
      <c r="AB13" s="215">
        <v>0</v>
      </c>
      <c r="AC13" s="215">
        <f>437278+5972025</f>
        <v>6409303</v>
      </c>
      <c r="AD13" s="215">
        <v>0</v>
      </c>
      <c r="AE13" s="215">
        <v>0</v>
      </c>
      <c r="AF13" s="215">
        <v>0</v>
      </c>
      <c r="AG13" s="215">
        <v>0</v>
      </c>
      <c r="AH13" s="215">
        <v>0</v>
      </c>
      <c r="AI13" s="216">
        <v>0</v>
      </c>
      <c r="AJ13" s="215">
        <v>0</v>
      </c>
      <c r="AK13" s="216">
        <v>0</v>
      </c>
      <c r="AL13" s="215">
        <v>0</v>
      </c>
      <c r="AM13" s="215">
        <v>0</v>
      </c>
      <c r="AN13" s="215">
        <v>0</v>
      </c>
      <c r="AO13" s="215">
        <v>0</v>
      </c>
      <c r="AP13" s="215">
        <v>0</v>
      </c>
      <c r="AQ13" s="215">
        <v>0</v>
      </c>
      <c r="AR13" s="216">
        <v>44499</v>
      </c>
      <c r="AS13" s="215">
        <v>0</v>
      </c>
      <c r="AT13" s="216">
        <v>54350</v>
      </c>
      <c r="AU13" s="216">
        <v>0</v>
      </c>
      <c r="AV13" s="215">
        <v>12099</v>
      </c>
      <c r="AW13" s="215">
        <v>0</v>
      </c>
      <c r="AX13" s="215">
        <v>0</v>
      </c>
      <c r="AY13" s="215">
        <v>0</v>
      </c>
      <c r="AZ13" s="215">
        <v>0</v>
      </c>
      <c r="BA13" s="215">
        <v>34711</v>
      </c>
      <c r="BB13" s="215">
        <v>1188</v>
      </c>
      <c r="BC13" s="215">
        <v>0</v>
      </c>
      <c r="BD13" s="215">
        <v>24639</v>
      </c>
      <c r="BE13" s="215">
        <v>19091</v>
      </c>
      <c r="BF13" s="215">
        <v>130000</v>
      </c>
      <c r="BG13" s="216">
        <v>15240</v>
      </c>
      <c r="BH13" s="216">
        <v>0</v>
      </c>
      <c r="BJ13" s="39">
        <f t="shared" si="0"/>
        <v>21505823</v>
      </c>
      <c r="BK13" s="39"/>
      <c r="BL13" s="39">
        <f t="shared" si="1"/>
        <v>21492536</v>
      </c>
      <c r="BM13" s="39">
        <f t="shared" si="2"/>
        <v>13287</v>
      </c>
      <c r="BN13" s="216"/>
    </row>
    <row r="14" spans="1:67" ht="11.25" customHeight="1">
      <c r="A14" s="212" t="s">
        <v>426</v>
      </c>
      <c r="B14" s="39">
        <f>SUM(B10:B13)</f>
        <v>15614170</v>
      </c>
      <c r="C14" s="39">
        <f aca="true" t="shared" si="3" ref="C14:H14">SUM(C10:C13)</f>
        <v>7236083</v>
      </c>
      <c r="D14" s="39">
        <f t="shared" si="3"/>
        <v>283829</v>
      </c>
      <c r="E14" s="39">
        <f t="shared" si="3"/>
        <v>45310</v>
      </c>
      <c r="F14" s="39">
        <f t="shared" si="3"/>
        <v>7590378</v>
      </c>
      <c r="G14" s="39">
        <f t="shared" si="3"/>
        <v>3008804</v>
      </c>
      <c r="H14" s="39">
        <f t="shared" si="3"/>
        <v>1808773</v>
      </c>
      <c r="I14" s="39">
        <f aca="true" t="shared" si="4" ref="I14:BH14">SUM(I10:I13)</f>
        <v>2400648</v>
      </c>
      <c r="J14" s="39">
        <f t="shared" si="4"/>
        <v>292605</v>
      </c>
      <c r="K14" s="39">
        <f t="shared" si="4"/>
        <v>1492093</v>
      </c>
      <c r="L14" s="39">
        <f t="shared" si="4"/>
        <v>1513751</v>
      </c>
      <c r="M14" s="39">
        <f t="shared" si="4"/>
        <v>1122879</v>
      </c>
      <c r="N14" s="39">
        <f>SUM(N10:N13)</f>
        <v>798251</v>
      </c>
      <c r="O14" s="39">
        <f t="shared" si="4"/>
        <v>1477441</v>
      </c>
      <c r="P14" s="39">
        <f t="shared" si="4"/>
        <v>361067</v>
      </c>
      <c r="Q14" s="39">
        <f t="shared" si="4"/>
        <v>523627</v>
      </c>
      <c r="R14" s="39">
        <f t="shared" si="4"/>
        <v>347126</v>
      </c>
      <c r="S14" s="39">
        <f t="shared" si="4"/>
        <v>337626</v>
      </c>
      <c r="T14" s="39">
        <f t="shared" si="4"/>
        <v>932500</v>
      </c>
      <c r="U14" s="39">
        <f t="shared" si="4"/>
        <v>768241</v>
      </c>
      <c r="V14" s="39">
        <f t="shared" si="4"/>
        <v>565437</v>
      </c>
      <c r="W14" s="39">
        <f t="shared" si="4"/>
        <v>0</v>
      </c>
      <c r="X14" s="39">
        <f t="shared" si="4"/>
        <v>1143034</v>
      </c>
      <c r="Y14" s="39">
        <f t="shared" si="4"/>
        <v>865533</v>
      </c>
      <c r="Z14" s="39">
        <f t="shared" si="4"/>
        <v>1465149</v>
      </c>
      <c r="AA14" s="39">
        <f t="shared" si="4"/>
        <v>460091</v>
      </c>
      <c r="AB14" s="39">
        <f t="shared" si="4"/>
        <v>373170.03500000003</v>
      </c>
      <c r="AC14" s="39">
        <f t="shared" si="4"/>
        <v>6904024</v>
      </c>
      <c r="AD14" s="39">
        <f t="shared" si="4"/>
        <v>481780</v>
      </c>
      <c r="AE14" s="39">
        <f t="shared" si="4"/>
        <v>445239</v>
      </c>
      <c r="AF14" s="39">
        <f t="shared" si="4"/>
        <v>187964.36599999998</v>
      </c>
      <c r="AG14" s="39">
        <f t="shared" si="4"/>
        <v>1925630</v>
      </c>
      <c r="AH14" s="39">
        <f t="shared" si="4"/>
        <v>129388</v>
      </c>
      <c r="AI14" s="39">
        <f t="shared" si="4"/>
        <v>112970</v>
      </c>
      <c r="AJ14" s="39">
        <f t="shared" si="4"/>
        <v>351061</v>
      </c>
      <c r="AK14" s="39">
        <f t="shared" si="4"/>
        <v>119607.5</v>
      </c>
      <c r="AL14" s="39">
        <f t="shared" si="4"/>
        <v>278603</v>
      </c>
      <c r="AM14" s="39">
        <f t="shared" si="4"/>
        <v>-772</v>
      </c>
      <c r="AN14" s="39">
        <f t="shared" si="4"/>
        <v>0</v>
      </c>
      <c r="AO14" s="39">
        <f t="shared" si="4"/>
        <v>123822</v>
      </c>
      <c r="AP14" s="39">
        <f t="shared" si="4"/>
        <v>92473</v>
      </c>
      <c r="AQ14" s="39">
        <f t="shared" si="4"/>
        <v>0</v>
      </c>
      <c r="AR14" s="39">
        <f t="shared" si="4"/>
        <v>91475</v>
      </c>
      <c r="AS14" s="39">
        <f t="shared" si="4"/>
        <v>32633</v>
      </c>
      <c r="AT14" s="39">
        <f t="shared" si="4"/>
        <v>131340</v>
      </c>
      <c r="AU14" s="39">
        <f t="shared" si="4"/>
        <v>0</v>
      </c>
      <c r="AV14" s="39">
        <f t="shared" si="4"/>
        <v>11826</v>
      </c>
      <c r="AW14" s="39">
        <f t="shared" si="4"/>
        <v>127810</v>
      </c>
      <c r="AX14" s="39">
        <f t="shared" si="4"/>
        <v>18330</v>
      </c>
      <c r="AY14" s="39">
        <f t="shared" si="4"/>
        <v>0</v>
      </c>
      <c r="AZ14" s="39">
        <f t="shared" si="4"/>
        <v>-624</v>
      </c>
      <c r="BA14" s="39">
        <f t="shared" si="4"/>
        <v>68495</v>
      </c>
      <c r="BB14" s="39">
        <f t="shared" si="4"/>
        <v>1188</v>
      </c>
      <c r="BC14" s="39">
        <f t="shared" si="4"/>
        <v>-0.312</v>
      </c>
      <c r="BD14" s="39">
        <f t="shared" si="4"/>
        <v>31879</v>
      </c>
      <c r="BE14" s="39">
        <f t="shared" si="4"/>
        <v>24484</v>
      </c>
      <c r="BF14" s="39">
        <f t="shared" si="4"/>
        <v>130000</v>
      </c>
      <c r="BG14" s="39">
        <f t="shared" si="4"/>
        <v>27063</v>
      </c>
      <c r="BH14" s="39">
        <f t="shared" si="4"/>
        <v>0</v>
      </c>
      <c r="BJ14" s="39">
        <f t="shared" si="0"/>
        <v>64675304.588999994</v>
      </c>
      <c r="BK14" s="39"/>
      <c r="BL14" s="39">
        <f t="shared" si="1"/>
        <v>25241961</v>
      </c>
      <c r="BM14" s="39">
        <f t="shared" si="2"/>
        <v>39433343.588999994</v>
      </c>
      <c r="BN14" s="216"/>
      <c r="BO14" s="209"/>
    </row>
    <row r="15" spans="1:67" ht="11.25" customHeight="1">
      <c r="A15" s="212"/>
      <c r="C15" s="292"/>
      <c r="F15" s="218"/>
      <c r="G15" s="218"/>
      <c r="H15" s="218"/>
      <c r="I15" s="218"/>
      <c r="J15" s="218"/>
      <c r="K15" s="39"/>
      <c r="L15" s="218"/>
      <c r="M15" s="216"/>
      <c r="N15" s="218"/>
      <c r="R15" s="218"/>
      <c r="S15" s="218"/>
      <c r="T15" s="218"/>
      <c r="U15" s="217"/>
      <c r="X15" s="218"/>
      <c r="Y15" s="218"/>
      <c r="Z15" s="291"/>
      <c r="AA15" s="218"/>
      <c r="AB15" s="218"/>
      <c r="AC15" s="218"/>
      <c r="AD15" s="218"/>
      <c r="AE15" s="218"/>
      <c r="AF15" s="218"/>
      <c r="AG15" s="218"/>
      <c r="AH15" s="218"/>
      <c r="AJ15" s="218"/>
      <c r="AL15" s="217"/>
      <c r="AM15" s="218"/>
      <c r="AN15" s="218"/>
      <c r="AO15" s="218"/>
      <c r="AP15" s="218"/>
      <c r="AQ15" s="218"/>
      <c r="AR15" s="228"/>
      <c r="AS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J15" s="39"/>
      <c r="BK15" s="39"/>
      <c r="BL15" s="39"/>
      <c r="BM15" s="39"/>
      <c r="BN15" s="216"/>
      <c r="BO15" s="209"/>
    </row>
    <row r="16" spans="1:67" ht="11.25" customHeight="1" outlineLevel="1">
      <c r="A16" s="212" t="s">
        <v>279</v>
      </c>
      <c r="C16" s="292"/>
      <c r="F16" s="218"/>
      <c r="G16" s="218"/>
      <c r="H16" s="218"/>
      <c r="I16" s="218"/>
      <c r="J16" s="218"/>
      <c r="K16" s="218"/>
      <c r="L16" s="218"/>
      <c r="M16" s="216"/>
      <c r="N16" s="218"/>
      <c r="R16" s="218"/>
      <c r="S16" s="218"/>
      <c r="T16" s="218"/>
      <c r="U16" s="217"/>
      <c r="X16" s="218"/>
      <c r="Y16" s="218"/>
      <c r="Z16" s="291"/>
      <c r="AA16" s="218"/>
      <c r="AB16" s="218"/>
      <c r="AC16" s="218"/>
      <c r="AD16" s="218"/>
      <c r="AE16" s="218"/>
      <c r="AF16" s="218"/>
      <c r="AG16" s="218"/>
      <c r="AH16" s="218"/>
      <c r="AJ16" s="218"/>
      <c r="AL16" s="217"/>
      <c r="AM16" s="218"/>
      <c r="AN16" s="218"/>
      <c r="AO16" s="218"/>
      <c r="AP16" s="218"/>
      <c r="AQ16" s="218"/>
      <c r="AR16" s="228"/>
      <c r="AS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J16" s="39"/>
      <c r="BK16" s="39"/>
      <c r="BL16" s="39"/>
      <c r="BM16" s="39"/>
      <c r="BN16" s="216"/>
      <c r="BO16" s="209"/>
    </row>
    <row r="17" spans="1:67" ht="11.25" customHeight="1" outlineLevel="1">
      <c r="A17" s="214" t="s">
        <v>280</v>
      </c>
      <c r="B17" s="216">
        <v>10021038</v>
      </c>
      <c r="C17" s="293">
        <v>113915.4</v>
      </c>
      <c r="D17" s="294">
        <v>231807</v>
      </c>
      <c r="E17" s="216">
        <v>36882</v>
      </c>
      <c r="F17" s="215">
        <v>2336120</v>
      </c>
      <c r="G17" s="215">
        <v>2123748</v>
      </c>
      <c r="H17" s="215">
        <v>1280994</v>
      </c>
      <c r="I17" s="215">
        <v>1584687</v>
      </c>
      <c r="J17" s="215">
        <v>1439</v>
      </c>
      <c r="K17" s="215">
        <v>1054386</v>
      </c>
      <c r="L17" s="215">
        <v>307942</v>
      </c>
      <c r="M17" s="216">
        <v>19068</v>
      </c>
      <c r="N17" s="215">
        <v>7497</v>
      </c>
      <c r="O17" s="216">
        <v>273744</v>
      </c>
      <c r="P17" s="216">
        <v>621026</v>
      </c>
      <c r="Q17" s="216">
        <v>23078</v>
      </c>
      <c r="R17" s="215">
        <v>810430</v>
      </c>
      <c r="S17" s="215">
        <v>5168</v>
      </c>
      <c r="T17" s="215">
        <v>440685</v>
      </c>
      <c r="U17" s="215">
        <v>329997</v>
      </c>
      <c r="V17" s="216">
        <v>359049</v>
      </c>
      <c r="W17" s="216">
        <v>8681</v>
      </c>
      <c r="X17" s="215">
        <v>145111</v>
      </c>
      <c r="Y17" s="215">
        <v>510402</v>
      </c>
      <c r="Z17" s="291">
        <v>644365</v>
      </c>
      <c r="AA17" s="215">
        <v>316017</v>
      </c>
      <c r="AB17" s="215">
        <v>650939.998</v>
      </c>
      <c r="AC17" s="215">
        <f>1271363</f>
        <v>1271363</v>
      </c>
      <c r="AD17" s="215">
        <v>308189</v>
      </c>
      <c r="AE17" s="215">
        <v>284510</v>
      </c>
      <c r="AF17" s="215">
        <v>5794.511</v>
      </c>
      <c r="AG17" s="215">
        <v>31663</v>
      </c>
      <c r="AH17" s="215">
        <v>1655</v>
      </c>
      <c r="AI17" s="216">
        <v>253912</v>
      </c>
      <c r="AJ17" s="215">
        <v>192074</v>
      </c>
      <c r="AK17" s="216">
        <v>1400.349</v>
      </c>
      <c r="AL17" s="215">
        <v>85241</v>
      </c>
      <c r="AM17" s="215">
        <v>121525</v>
      </c>
      <c r="AN17" s="215">
        <v>28971</v>
      </c>
      <c r="AO17" s="215">
        <v>67741</v>
      </c>
      <c r="AP17" s="215">
        <v>59231</v>
      </c>
      <c r="AQ17" s="215">
        <v>96112</v>
      </c>
      <c r="AR17" s="216">
        <v>88999</v>
      </c>
      <c r="AS17" s="215">
        <v>288</v>
      </c>
      <c r="AT17" s="216">
        <f>44763+54350</f>
        <v>99113</v>
      </c>
      <c r="AU17" s="216">
        <v>51745.651</v>
      </c>
      <c r="AV17" s="215">
        <v>75175</v>
      </c>
      <c r="AW17" s="215">
        <v>170772</v>
      </c>
      <c r="AX17" s="215">
        <v>57072</v>
      </c>
      <c r="AY17" s="215">
        <v>37648</v>
      </c>
      <c r="AZ17" s="215">
        <v>40237</v>
      </c>
      <c r="BA17" s="215">
        <v>67086</v>
      </c>
      <c r="BB17" s="215">
        <v>39687</v>
      </c>
      <c r="BC17" s="215">
        <v>38358.02</v>
      </c>
      <c r="BD17" s="215">
        <v>36454</v>
      </c>
      <c r="BE17" s="215">
        <v>29035</v>
      </c>
      <c r="BF17" s="215">
        <v>140115</v>
      </c>
      <c r="BG17" s="216">
        <v>52655</v>
      </c>
      <c r="BH17" s="216">
        <v>942</v>
      </c>
      <c r="BJ17" s="39">
        <f t="shared" si="0"/>
        <v>28092979.928999998</v>
      </c>
      <c r="BK17" s="39"/>
      <c r="BL17" s="39">
        <f t="shared" si="1"/>
        <v>13060968</v>
      </c>
      <c r="BM17" s="39">
        <f t="shared" si="2"/>
        <v>15032011.929</v>
      </c>
      <c r="BN17" s="216"/>
      <c r="BO17" s="209"/>
    </row>
    <row r="18" spans="1:67" ht="11.25" customHeight="1" outlineLevel="1">
      <c r="A18" s="214" t="s">
        <v>281</v>
      </c>
      <c r="B18" s="205">
        <v>0</v>
      </c>
      <c r="C18" s="205">
        <v>0</v>
      </c>
      <c r="D18" s="205">
        <v>0</v>
      </c>
      <c r="E18" s="205">
        <v>0</v>
      </c>
      <c r="F18" s="215">
        <v>-3009</v>
      </c>
      <c r="G18" s="215">
        <v>-41483</v>
      </c>
      <c r="H18" s="215">
        <v>-682</v>
      </c>
      <c r="I18" s="215">
        <v>-13448</v>
      </c>
      <c r="J18" s="215">
        <v>0</v>
      </c>
      <c r="K18" s="215">
        <v>-15502</v>
      </c>
      <c r="L18" s="215">
        <v>0</v>
      </c>
      <c r="M18" s="216">
        <v>0</v>
      </c>
      <c r="N18" s="215">
        <v>0</v>
      </c>
      <c r="O18" s="216">
        <v>-511</v>
      </c>
      <c r="P18" s="205">
        <v>0</v>
      </c>
      <c r="Q18" s="205">
        <v>0</v>
      </c>
      <c r="R18" s="215">
        <v>-6543</v>
      </c>
      <c r="S18" s="215">
        <v>0</v>
      </c>
      <c r="T18" s="215">
        <v>-4870</v>
      </c>
      <c r="U18" s="215">
        <v>0</v>
      </c>
      <c r="V18" s="216">
        <v>-5477</v>
      </c>
      <c r="W18" s="216">
        <v>-38</v>
      </c>
      <c r="X18" s="215">
        <v>0</v>
      </c>
      <c r="Y18" s="215">
        <v>-7411</v>
      </c>
      <c r="Z18" s="291">
        <v>0</v>
      </c>
      <c r="AA18" s="215">
        <v>-2554</v>
      </c>
      <c r="AB18" s="215">
        <v>-63965.238</v>
      </c>
      <c r="AC18" s="215">
        <v>0</v>
      </c>
      <c r="AD18" s="215">
        <v>-5882</v>
      </c>
      <c r="AE18" s="215">
        <v>0</v>
      </c>
      <c r="AF18" s="215">
        <v>0</v>
      </c>
      <c r="AG18" s="215">
        <v>0</v>
      </c>
      <c r="AH18" s="215">
        <v>0</v>
      </c>
      <c r="AI18" s="216">
        <v>0</v>
      </c>
      <c r="AJ18" s="215">
        <v>-2483</v>
      </c>
      <c r="AK18" s="216">
        <v>0</v>
      </c>
      <c r="AL18" s="215">
        <v>0</v>
      </c>
      <c r="AM18" s="215">
        <v>0</v>
      </c>
      <c r="AN18" s="215">
        <v>0</v>
      </c>
      <c r="AO18" s="215">
        <v>-184</v>
      </c>
      <c r="AP18" s="215">
        <v>-882</v>
      </c>
      <c r="AQ18" s="215">
        <v>0</v>
      </c>
      <c r="AR18" s="216">
        <v>0</v>
      </c>
      <c r="AS18" s="215">
        <v>0</v>
      </c>
      <c r="AT18" s="216">
        <v>9556</v>
      </c>
      <c r="AU18" s="216">
        <v>0</v>
      </c>
      <c r="AV18" s="215">
        <v>-289</v>
      </c>
      <c r="AW18" s="215">
        <v>0</v>
      </c>
      <c r="AX18" s="215">
        <v>0</v>
      </c>
      <c r="AY18" s="215">
        <v>0</v>
      </c>
      <c r="AZ18" s="215">
        <v>-510</v>
      </c>
      <c r="BA18" s="215">
        <v>0</v>
      </c>
      <c r="BB18" s="215">
        <v>-959</v>
      </c>
      <c r="BC18" s="215">
        <v>0</v>
      </c>
      <c r="BD18" s="215">
        <v>0</v>
      </c>
      <c r="BE18" s="215">
        <v>0</v>
      </c>
      <c r="BF18" s="215">
        <v>0</v>
      </c>
      <c r="BG18" s="215">
        <v>0</v>
      </c>
      <c r="BH18" s="215">
        <v>0</v>
      </c>
      <c r="BJ18" s="39">
        <f t="shared" si="0"/>
        <v>-167126.238</v>
      </c>
      <c r="BK18" s="39"/>
      <c r="BL18" s="39">
        <f t="shared" si="1"/>
        <v>9556</v>
      </c>
      <c r="BM18" s="39">
        <f t="shared" si="2"/>
        <v>-176682.238</v>
      </c>
      <c r="BN18" s="216"/>
      <c r="BO18" s="209"/>
    </row>
    <row r="19" spans="1:67" ht="11.25" customHeight="1" outlineLevel="1">
      <c r="A19" s="214" t="s">
        <v>282</v>
      </c>
      <c r="B19" s="205">
        <v>1591</v>
      </c>
      <c r="C19" s="292">
        <v>197</v>
      </c>
      <c r="D19" s="205">
        <v>0</v>
      </c>
      <c r="E19" s="205">
        <v>0</v>
      </c>
      <c r="F19" s="215">
        <v>1365</v>
      </c>
      <c r="G19" s="215">
        <v>10595</v>
      </c>
      <c r="H19" s="215">
        <v>4620</v>
      </c>
      <c r="I19" s="215">
        <v>2863</v>
      </c>
      <c r="J19" s="215">
        <v>0</v>
      </c>
      <c r="K19" s="215">
        <v>2944</v>
      </c>
      <c r="L19" s="215">
        <v>805</v>
      </c>
      <c r="M19" s="216">
        <v>22</v>
      </c>
      <c r="N19" s="215">
        <v>0</v>
      </c>
      <c r="O19" s="216">
        <v>1143</v>
      </c>
      <c r="P19" s="205">
        <v>0</v>
      </c>
      <c r="Q19" s="205">
        <v>0</v>
      </c>
      <c r="R19" s="215">
        <v>1109</v>
      </c>
      <c r="S19" s="215">
        <v>0</v>
      </c>
      <c r="T19" s="215">
        <v>1021</v>
      </c>
      <c r="U19" s="215">
        <v>0</v>
      </c>
      <c r="V19" s="216">
        <v>1535</v>
      </c>
      <c r="W19" s="216">
        <v>0</v>
      </c>
      <c r="X19" s="215">
        <v>120</v>
      </c>
      <c r="Y19" s="215">
        <v>1356</v>
      </c>
      <c r="Z19" s="291">
        <v>20</v>
      </c>
      <c r="AA19" s="215">
        <v>307</v>
      </c>
      <c r="AB19" s="215">
        <v>463.589</v>
      </c>
      <c r="AC19" s="215">
        <v>32</v>
      </c>
      <c r="AD19" s="215">
        <v>1136</v>
      </c>
      <c r="AE19" s="215">
        <v>303</v>
      </c>
      <c r="AF19" s="215">
        <v>0</v>
      </c>
      <c r="AG19" s="215">
        <v>112</v>
      </c>
      <c r="AH19" s="215">
        <v>0</v>
      </c>
      <c r="AI19" s="216">
        <v>0</v>
      </c>
      <c r="AJ19" s="215">
        <v>0</v>
      </c>
      <c r="AK19" s="216">
        <v>0</v>
      </c>
      <c r="AL19" s="215">
        <v>0</v>
      </c>
      <c r="AM19" s="215">
        <v>0</v>
      </c>
      <c r="AN19" s="215">
        <v>0</v>
      </c>
      <c r="AO19" s="215">
        <v>79</v>
      </c>
      <c r="AP19" s="215">
        <v>0</v>
      </c>
      <c r="AQ19" s="215">
        <v>0</v>
      </c>
      <c r="AR19" s="216">
        <v>0</v>
      </c>
      <c r="AS19" s="215">
        <v>87</v>
      </c>
      <c r="AT19" s="216">
        <v>373</v>
      </c>
      <c r="AU19" s="216">
        <v>77.246</v>
      </c>
      <c r="AV19" s="215">
        <v>40</v>
      </c>
      <c r="AW19" s="215">
        <v>13</v>
      </c>
      <c r="AX19" s="215">
        <v>0</v>
      </c>
      <c r="AY19" s="215">
        <v>0</v>
      </c>
      <c r="AZ19" s="215">
        <v>0</v>
      </c>
      <c r="BA19" s="215">
        <v>0</v>
      </c>
      <c r="BB19" s="215">
        <v>0</v>
      </c>
      <c r="BC19" s="215">
        <v>0</v>
      </c>
      <c r="BD19" s="215">
        <v>0</v>
      </c>
      <c r="BE19" s="215">
        <v>0</v>
      </c>
      <c r="BF19" s="215">
        <v>0</v>
      </c>
      <c r="BG19" s="215">
        <v>0</v>
      </c>
      <c r="BH19" s="215">
        <v>0</v>
      </c>
      <c r="BJ19" s="39">
        <f t="shared" si="0"/>
        <v>34328.835</v>
      </c>
      <c r="BK19" s="39"/>
      <c r="BL19" s="39">
        <f t="shared" si="1"/>
        <v>2029</v>
      </c>
      <c r="BM19" s="39">
        <f t="shared" si="2"/>
        <v>32299.835</v>
      </c>
      <c r="BN19" s="216"/>
      <c r="BO19" s="209"/>
    </row>
    <row r="20" spans="1:67" ht="11.25" customHeight="1" outlineLevel="1">
      <c r="A20" s="214" t="s">
        <v>283</v>
      </c>
      <c r="B20" s="205">
        <v>0</v>
      </c>
      <c r="C20" s="205">
        <v>0</v>
      </c>
      <c r="D20" s="205">
        <v>0</v>
      </c>
      <c r="E20" s="205">
        <v>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6">
        <v>0</v>
      </c>
      <c r="N20" s="215">
        <v>0</v>
      </c>
      <c r="O20" s="205">
        <v>0</v>
      </c>
      <c r="P20" s="205">
        <v>0</v>
      </c>
      <c r="Q20" s="205">
        <v>0</v>
      </c>
      <c r="R20" s="205">
        <v>0</v>
      </c>
      <c r="S20" s="205">
        <v>0</v>
      </c>
      <c r="T20" s="205">
        <v>0</v>
      </c>
      <c r="U20" s="215">
        <v>0</v>
      </c>
      <c r="V20" s="215">
        <v>0</v>
      </c>
      <c r="W20" s="216">
        <v>0</v>
      </c>
      <c r="X20" s="216">
        <v>0</v>
      </c>
      <c r="Y20" s="216">
        <v>0</v>
      </c>
      <c r="Z20" s="216">
        <v>0</v>
      </c>
      <c r="AA20" s="216">
        <v>0</v>
      </c>
      <c r="AB20" s="215">
        <v>0</v>
      </c>
      <c r="AC20" s="215">
        <v>0</v>
      </c>
      <c r="AD20" s="215">
        <v>0</v>
      </c>
      <c r="AE20" s="215">
        <v>0</v>
      </c>
      <c r="AF20" s="215">
        <v>0</v>
      </c>
      <c r="AG20" s="215">
        <v>0</v>
      </c>
      <c r="AH20" s="215">
        <v>0</v>
      </c>
      <c r="AI20" s="216">
        <v>0</v>
      </c>
      <c r="AJ20" s="215">
        <v>0</v>
      </c>
      <c r="AK20" s="216">
        <v>0</v>
      </c>
      <c r="AL20" s="215">
        <v>0</v>
      </c>
      <c r="AM20" s="215">
        <v>0</v>
      </c>
      <c r="AN20" s="215">
        <v>0</v>
      </c>
      <c r="AO20" s="215">
        <v>0</v>
      </c>
      <c r="AP20" s="215">
        <v>0</v>
      </c>
      <c r="AQ20" s="215">
        <v>0</v>
      </c>
      <c r="AR20" s="216">
        <v>0</v>
      </c>
      <c r="AS20" s="215">
        <v>0</v>
      </c>
      <c r="AT20" s="216">
        <v>2935</v>
      </c>
      <c r="AU20" s="216">
        <v>0</v>
      </c>
      <c r="AV20" s="215">
        <v>0</v>
      </c>
      <c r="AW20" s="215">
        <v>0</v>
      </c>
      <c r="AX20" s="215">
        <v>0</v>
      </c>
      <c r="AY20" s="215">
        <v>0</v>
      </c>
      <c r="AZ20" s="215">
        <v>0</v>
      </c>
      <c r="BA20" s="215">
        <v>0</v>
      </c>
      <c r="BB20" s="215">
        <v>0</v>
      </c>
      <c r="BC20" s="215">
        <v>0</v>
      </c>
      <c r="BD20" s="215">
        <v>0</v>
      </c>
      <c r="BE20" s="215">
        <v>0</v>
      </c>
      <c r="BF20" s="215">
        <v>0</v>
      </c>
      <c r="BG20" s="215">
        <v>0</v>
      </c>
      <c r="BH20" s="215">
        <v>0</v>
      </c>
      <c r="BJ20" s="39">
        <f t="shared" si="0"/>
        <v>2935</v>
      </c>
      <c r="BK20" s="39"/>
      <c r="BL20" s="39">
        <f t="shared" si="1"/>
        <v>2935</v>
      </c>
      <c r="BM20" s="39">
        <f t="shared" si="2"/>
        <v>0</v>
      </c>
      <c r="BN20" s="216"/>
      <c r="BO20" s="209"/>
    </row>
    <row r="21" spans="1:67" ht="11.25" customHeight="1">
      <c r="A21" s="212" t="s">
        <v>427</v>
      </c>
      <c r="B21" s="216">
        <f>SUM(B17:B20)</f>
        <v>10022629</v>
      </c>
      <c r="C21" s="216">
        <f aca="true" t="shared" si="5" ref="C21:BH21">SUM(C17:C20)</f>
        <v>114112.4</v>
      </c>
      <c r="D21" s="216">
        <f t="shared" si="5"/>
        <v>231807</v>
      </c>
      <c r="E21" s="216">
        <f t="shared" si="5"/>
        <v>36882</v>
      </c>
      <c r="F21" s="216">
        <f t="shared" si="5"/>
        <v>2334476</v>
      </c>
      <c r="G21" s="216">
        <f t="shared" si="5"/>
        <v>2092860</v>
      </c>
      <c r="H21" s="216">
        <f t="shared" si="5"/>
        <v>1284932</v>
      </c>
      <c r="I21" s="216">
        <f t="shared" si="5"/>
        <v>1574102</v>
      </c>
      <c r="J21" s="216">
        <f t="shared" si="5"/>
        <v>1439</v>
      </c>
      <c r="K21" s="216">
        <f t="shared" si="5"/>
        <v>1041828</v>
      </c>
      <c r="L21" s="216">
        <f t="shared" si="5"/>
        <v>308747</v>
      </c>
      <c r="M21" s="216">
        <f t="shared" si="5"/>
        <v>19090</v>
      </c>
      <c r="N21" s="216">
        <f t="shared" si="5"/>
        <v>7497</v>
      </c>
      <c r="O21" s="216">
        <f t="shared" si="5"/>
        <v>274376</v>
      </c>
      <c r="P21" s="216">
        <f t="shared" si="5"/>
        <v>621026</v>
      </c>
      <c r="Q21" s="216">
        <f t="shared" si="5"/>
        <v>23078</v>
      </c>
      <c r="R21" s="216">
        <f t="shared" si="5"/>
        <v>804996</v>
      </c>
      <c r="S21" s="216">
        <f t="shared" si="5"/>
        <v>5168</v>
      </c>
      <c r="T21" s="216">
        <f t="shared" si="5"/>
        <v>436836</v>
      </c>
      <c r="U21" s="216">
        <f t="shared" si="5"/>
        <v>329997</v>
      </c>
      <c r="V21" s="216">
        <f t="shared" si="5"/>
        <v>355107</v>
      </c>
      <c r="W21" s="216">
        <f t="shared" si="5"/>
        <v>8643</v>
      </c>
      <c r="X21" s="216">
        <f t="shared" si="5"/>
        <v>145231</v>
      </c>
      <c r="Y21" s="216">
        <f t="shared" si="5"/>
        <v>504347</v>
      </c>
      <c r="Z21" s="216">
        <f t="shared" si="5"/>
        <v>644385</v>
      </c>
      <c r="AA21" s="216">
        <f t="shared" si="5"/>
        <v>313770</v>
      </c>
      <c r="AB21" s="216">
        <f t="shared" si="5"/>
        <v>587438.349</v>
      </c>
      <c r="AC21" s="216">
        <f t="shared" si="5"/>
        <v>1271395</v>
      </c>
      <c r="AD21" s="216">
        <f t="shared" si="5"/>
        <v>303443</v>
      </c>
      <c r="AE21" s="216">
        <f t="shared" si="5"/>
        <v>284813</v>
      </c>
      <c r="AF21" s="216">
        <f t="shared" si="5"/>
        <v>5794.511</v>
      </c>
      <c r="AG21" s="216">
        <f t="shared" si="5"/>
        <v>31775</v>
      </c>
      <c r="AH21" s="216">
        <f t="shared" si="5"/>
        <v>1655</v>
      </c>
      <c r="AI21" s="216">
        <f t="shared" si="5"/>
        <v>253912</v>
      </c>
      <c r="AJ21" s="216">
        <f t="shared" si="5"/>
        <v>189591</v>
      </c>
      <c r="AK21" s="216">
        <f t="shared" si="5"/>
        <v>1400.349</v>
      </c>
      <c r="AL21" s="216">
        <f t="shared" si="5"/>
        <v>85241</v>
      </c>
      <c r="AM21" s="216">
        <f t="shared" si="5"/>
        <v>121525</v>
      </c>
      <c r="AN21" s="216">
        <f t="shared" si="5"/>
        <v>28971</v>
      </c>
      <c r="AO21" s="216">
        <f t="shared" si="5"/>
        <v>67636</v>
      </c>
      <c r="AP21" s="216">
        <f t="shared" si="5"/>
        <v>58349</v>
      </c>
      <c r="AQ21" s="216">
        <f t="shared" si="5"/>
        <v>96112</v>
      </c>
      <c r="AR21" s="216">
        <f t="shared" si="5"/>
        <v>88999</v>
      </c>
      <c r="AS21" s="216">
        <f t="shared" si="5"/>
        <v>375</v>
      </c>
      <c r="AT21" s="216">
        <f t="shared" si="5"/>
        <v>111977</v>
      </c>
      <c r="AU21" s="216">
        <f t="shared" si="5"/>
        <v>51822.897</v>
      </c>
      <c r="AV21" s="216">
        <f t="shared" si="5"/>
        <v>74926</v>
      </c>
      <c r="AW21" s="216">
        <f t="shared" si="5"/>
        <v>170785</v>
      </c>
      <c r="AX21" s="216">
        <f t="shared" si="5"/>
        <v>57072</v>
      </c>
      <c r="AY21" s="216">
        <f t="shared" si="5"/>
        <v>37648</v>
      </c>
      <c r="AZ21" s="216">
        <f t="shared" si="5"/>
        <v>39727</v>
      </c>
      <c r="BA21" s="216">
        <f t="shared" si="5"/>
        <v>67086</v>
      </c>
      <c r="BB21" s="216">
        <f t="shared" si="5"/>
        <v>38728</v>
      </c>
      <c r="BC21" s="216">
        <f t="shared" si="5"/>
        <v>38358.02</v>
      </c>
      <c r="BD21" s="216">
        <f t="shared" si="5"/>
        <v>36454</v>
      </c>
      <c r="BE21" s="216">
        <f t="shared" si="5"/>
        <v>29035</v>
      </c>
      <c r="BF21" s="216">
        <f t="shared" si="5"/>
        <v>140115</v>
      </c>
      <c r="BG21" s="216">
        <f t="shared" si="5"/>
        <v>52655</v>
      </c>
      <c r="BH21" s="216">
        <f t="shared" si="5"/>
        <v>942</v>
      </c>
      <c r="BJ21" s="39">
        <f t="shared" si="0"/>
        <v>27963117.525999997</v>
      </c>
      <c r="BK21" s="39"/>
      <c r="BL21" s="39">
        <f t="shared" si="1"/>
        <v>13075488</v>
      </c>
      <c r="BM21" s="39">
        <f t="shared" si="2"/>
        <v>14887629.525999999</v>
      </c>
      <c r="BN21" s="216"/>
      <c r="BO21" s="209"/>
    </row>
    <row r="22" spans="1:67" ht="11.25" customHeight="1">
      <c r="A22" s="212"/>
      <c r="C22" s="292"/>
      <c r="F22" s="218"/>
      <c r="G22" s="218"/>
      <c r="H22" s="218"/>
      <c r="I22" s="218"/>
      <c r="J22" s="218"/>
      <c r="K22" s="39"/>
      <c r="L22" s="218"/>
      <c r="M22" s="216"/>
      <c r="N22" s="218"/>
      <c r="R22" s="218"/>
      <c r="S22" s="218"/>
      <c r="T22" s="218"/>
      <c r="U22" s="217"/>
      <c r="X22" s="218"/>
      <c r="Y22" s="218"/>
      <c r="Z22" s="291"/>
      <c r="AA22" s="218"/>
      <c r="AB22" s="218"/>
      <c r="AC22" s="218"/>
      <c r="AD22" s="218"/>
      <c r="AE22" s="218"/>
      <c r="AF22" s="218"/>
      <c r="AG22" s="218"/>
      <c r="AH22" s="218"/>
      <c r="AJ22" s="218"/>
      <c r="AL22" s="217"/>
      <c r="AM22" s="218"/>
      <c r="AN22" s="218"/>
      <c r="AO22" s="218"/>
      <c r="AP22" s="218"/>
      <c r="AQ22" s="218"/>
      <c r="AR22" s="228"/>
      <c r="AS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J22" s="39"/>
      <c r="BK22" s="39"/>
      <c r="BL22" s="39"/>
      <c r="BM22" s="39"/>
      <c r="BN22" s="216"/>
      <c r="BO22" s="209"/>
    </row>
    <row r="23" spans="1:67" ht="11.25" customHeight="1" outlineLevel="1">
      <c r="A23" s="212" t="s">
        <v>285</v>
      </c>
      <c r="C23" s="292"/>
      <c r="F23" s="218"/>
      <c r="G23" s="218"/>
      <c r="H23" s="218"/>
      <c r="I23" s="218"/>
      <c r="J23" s="218"/>
      <c r="K23" s="218"/>
      <c r="L23" s="218"/>
      <c r="M23" s="216"/>
      <c r="N23" s="218"/>
      <c r="R23" s="218"/>
      <c r="S23" s="218"/>
      <c r="T23" s="218"/>
      <c r="U23" s="217"/>
      <c r="X23" s="218"/>
      <c r="Y23" s="218"/>
      <c r="Z23" s="291"/>
      <c r="AA23" s="218"/>
      <c r="AB23" s="218"/>
      <c r="AC23" s="218"/>
      <c r="AD23" s="218"/>
      <c r="AE23" s="218"/>
      <c r="AF23" s="218"/>
      <c r="AG23" s="218"/>
      <c r="AH23" s="218"/>
      <c r="AJ23" s="218"/>
      <c r="AL23" s="217"/>
      <c r="AM23" s="218"/>
      <c r="AN23" s="218"/>
      <c r="AO23" s="218"/>
      <c r="AP23" s="218"/>
      <c r="AQ23" s="218"/>
      <c r="AR23" s="228"/>
      <c r="AS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J23" s="39"/>
      <c r="BK23" s="39"/>
      <c r="BL23" s="39"/>
      <c r="BM23" s="39"/>
      <c r="BN23" s="216"/>
      <c r="BO23" s="209"/>
    </row>
    <row r="24" spans="1:67" ht="11.25" customHeight="1" outlineLevel="1">
      <c r="A24" s="214" t="s">
        <v>286</v>
      </c>
      <c r="B24" s="205">
        <v>0</v>
      </c>
      <c r="C24" s="205">
        <v>0</v>
      </c>
      <c r="D24" s="205">
        <v>0</v>
      </c>
      <c r="E24" s="20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-51484</v>
      </c>
      <c r="L24" s="215">
        <v>0</v>
      </c>
      <c r="M24" s="216">
        <v>0</v>
      </c>
      <c r="N24" s="216">
        <v>0</v>
      </c>
      <c r="O24" s="205">
        <v>0</v>
      </c>
      <c r="P24" s="205">
        <v>0</v>
      </c>
      <c r="Q24" s="205">
        <v>0</v>
      </c>
      <c r="R24" s="205">
        <v>0</v>
      </c>
      <c r="S24" s="205">
        <v>0</v>
      </c>
      <c r="T24" s="205">
        <v>0</v>
      </c>
      <c r="U24" s="215">
        <v>0</v>
      </c>
      <c r="V24" s="215">
        <v>0</v>
      </c>
      <c r="W24" s="215">
        <v>0</v>
      </c>
      <c r="X24" s="215">
        <v>0</v>
      </c>
      <c r="Y24" s="215">
        <v>0</v>
      </c>
      <c r="Z24" s="291">
        <v>1047123</v>
      </c>
      <c r="AA24" s="215">
        <v>0</v>
      </c>
      <c r="AB24" s="215">
        <v>0</v>
      </c>
      <c r="AC24" s="215">
        <v>0</v>
      </c>
      <c r="AD24" s="215">
        <v>0</v>
      </c>
      <c r="AE24" s="215">
        <v>0</v>
      </c>
      <c r="AF24" s="215">
        <v>0</v>
      </c>
      <c r="AG24" s="215">
        <v>0</v>
      </c>
      <c r="AH24" s="215">
        <v>0</v>
      </c>
      <c r="AI24" s="216">
        <v>0</v>
      </c>
      <c r="AJ24" s="215">
        <v>0</v>
      </c>
      <c r="AK24" s="216">
        <v>0</v>
      </c>
      <c r="AL24" s="215">
        <v>0</v>
      </c>
      <c r="AM24" s="215">
        <v>0</v>
      </c>
      <c r="AN24" s="215">
        <v>0</v>
      </c>
      <c r="AO24" s="215">
        <v>0</v>
      </c>
      <c r="AP24" s="215">
        <v>0</v>
      </c>
      <c r="AQ24" s="215">
        <v>0</v>
      </c>
      <c r="AR24" s="215">
        <v>0</v>
      </c>
      <c r="AS24" s="215">
        <v>0</v>
      </c>
      <c r="AT24" s="215">
        <v>0</v>
      </c>
      <c r="AU24" s="215">
        <v>0</v>
      </c>
      <c r="AV24" s="215">
        <v>0</v>
      </c>
      <c r="AW24" s="215">
        <v>0</v>
      </c>
      <c r="AX24" s="215">
        <v>0</v>
      </c>
      <c r="AY24" s="215">
        <v>0</v>
      </c>
      <c r="AZ24" s="215">
        <v>0</v>
      </c>
      <c r="BA24" s="215">
        <v>0</v>
      </c>
      <c r="BB24" s="215">
        <v>0</v>
      </c>
      <c r="BC24" s="215">
        <v>0</v>
      </c>
      <c r="BD24" s="215">
        <v>0</v>
      </c>
      <c r="BE24" s="215">
        <v>0</v>
      </c>
      <c r="BF24" s="215">
        <v>0</v>
      </c>
      <c r="BG24" s="215">
        <v>0</v>
      </c>
      <c r="BH24" s="215">
        <v>0</v>
      </c>
      <c r="BJ24" s="39">
        <f t="shared" si="0"/>
        <v>995639</v>
      </c>
      <c r="BK24" s="39"/>
      <c r="BL24" s="39">
        <f t="shared" si="1"/>
        <v>1047123</v>
      </c>
      <c r="BM24" s="39">
        <f t="shared" si="2"/>
        <v>-51484</v>
      </c>
      <c r="BN24" s="216"/>
      <c r="BO24" s="209"/>
    </row>
    <row r="25" spans="1:67" ht="11.25" customHeight="1" outlineLevel="1">
      <c r="A25" s="214" t="s">
        <v>287</v>
      </c>
      <c r="B25" s="205">
        <v>0</v>
      </c>
      <c r="C25" s="205">
        <v>0</v>
      </c>
      <c r="D25" s="205">
        <v>0</v>
      </c>
      <c r="E25" s="205">
        <v>0</v>
      </c>
      <c r="F25" s="215">
        <v>0</v>
      </c>
      <c r="G25" s="215">
        <v>4717</v>
      </c>
      <c r="H25" s="215">
        <v>0</v>
      </c>
      <c r="I25" s="215">
        <v>0</v>
      </c>
      <c r="J25" s="215">
        <v>0</v>
      </c>
      <c r="K25" s="215">
        <v>0</v>
      </c>
      <c r="L25" s="215">
        <v>0</v>
      </c>
      <c r="M25" s="216">
        <v>0</v>
      </c>
      <c r="N25" s="216">
        <v>0</v>
      </c>
      <c r="O25" s="205">
        <v>1011009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15">
        <v>0</v>
      </c>
      <c r="V25" s="215">
        <v>0</v>
      </c>
      <c r="W25" s="215">
        <v>0</v>
      </c>
      <c r="X25" s="215">
        <v>0</v>
      </c>
      <c r="Y25" s="215">
        <v>0</v>
      </c>
      <c r="Z25" s="291">
        <v>632160</v>
      </c>
      <c r="AA25" s="215">
        <v>4716</v>
      </c>
      <c r="AB25" s="215">
        <v>0</v>
      </c>
      <c r="AC25" s="215">
        <v>0</v>
      </c>
      <c r="AD25" s="215">
        <v>0</v>
      </c>
      <c r="AE25" s="215">
        <v>0</v>
      </c>
      <c r="AF25" s="215">
        <v>0</v>
      </c>
      <c r="AG25" s="215">
        <v>0</v>
      </c>
      <c r="AH25" s="215">
        <v>0</v>
      </c>
      <c r="AI25" s="216">
        <v>0</v>
      </c>
      <c r="AJ25" s="215">
        <v>0</v>
      </c>
      <c r="AK25" s="216">
        <v>0</v>
      </c>
      <c r="AL25" s="215">
        <v>0</v>
      </c>
      <c r="AM25" s="215">
        <v>0</v>
      </c>
      <c r="AN25" s="215">
        <v>0</v>
      </c>
      <c r="AO25" s="215">
        <v>0</v>
      </c>
      <c r="AP25" s="215">
        <v>0</v>
      </c>
      <c r="AQ25" s="215">
        <v>0</v>
      </c>
      <c r="AR25" s="215">
        <v>0</v>
      </c>
      <c r="AS25" s="215">
        <v>0</v>
      </c>
      <c r="AT25" s="215">
        <v>0</v>
      </c>
      <c r="AU25" s="215">
        <v>0</v>
      </c>
      <c r="AV25" s="215">
        <v>0</v>
      </c>
      <c r="AW25" s="215">
        <v>0</v>
      </c>
      <c r="AX25" s="215">
        <v>0</v>
      </c>
      <c r="AY25" s="215">
        <v>0</v>
      </c>
      <c r="AZ25" s="215">
        <v>0</v>
      </c>
      <c r="BA25" s="215">
        <v>0</v>
      </c>
      <c r="BB25" s="215">
        <v>0</v>
      </c>
      <c r="BC25" s="215">
        <v>0</v>
      </c>
      <c r="BD25" s="215">
        <v>0</v>
      </c>
      <c r="BE25" s="215">
        <v>0</v>
      </c>
      <c r="BF25" s="215">
        <v>0</v>
      </c>
      <c r="BG25" s="215">
        <v>0</v>
      </c>
      <c r="BH25" s="215">
        <v>0</v>
      </c>
      <c r="BJ25" s="39">
        <f t="shared" si="0"/>
        <v>1652602</v>
      </c>
      <c r="BK25" s="39"/>
      <c r="BL25" s="39">
        <f t="shared" si="1"/>
        <v>632160</v>
      </c>
      <c r="BM25" s="39">
        <f t="shared" si="2"/>
        <v>1020442</v>
      </c>
      <c r="BN25" s="216"/>
      <c r="BO25" s="209"/>
    </row>
    <row r="26" spans="1:67" ht="11.25" customHeight="1" outlineLevel="1">
      <c r="A26" s="214" t="s">
        <v>288</v>
      </c>
      <c r="B26" s="216">
        <v>7032395</v>
      </c>
      <c r="C26" s="295">
        <v>2504537</v>
      </c>
      <c r="D26" s="205">
        <v>0</v>
      </c>
      <c r="E26" s="205">
        <v>0</v>
      </c>
      <c r="F26" s="215">
        <v>8845672</v>
      </c>
      <c r="G26" s="215">
        <v>4697979</v>
      </c>
      <c r="H26" s="215">
        <v>4190995</v>
      </c>
      <c r="I26" s="215">
        <v>666322</v>
      </c>
      <c r="J26" s="215">
        <v>0</v>
      </c>
      <c r="K26" s="215">
        <v>1660802</v>
      </c>
      <c r="L26" s="215">
        <v>1387389</v>
      </c>
      <c r="M26" s="216">
        <v>6075</v>
      </c>
      <c r="N26" s="215">
        <v>131542</v>
      </c>
      <c r="O26" s="216">
        <v>0</v>
      </c>
      <c r="P26" s="216">
        <v>19517</v>
      </c>
      <c r="Q26" s="216">
        <v>2281</v>
      </c>
      <c r="R26" s="215">
        <v>1594550</v>
      </c>
      <c r="S26" s="205">
        <v>0</v>
      </c>
      <c r="T26" s="215">
        <f>453298</f>
        <v>453298</v>
      </c>
      <c r="U26" s="215">
        <v>383518</v>
      </c>
      <c r="V26" s="216">
        <v>1118428</v>
      </c>
      <c r="W26" s="216">
        <v>18493</v>
      </c>
      <c r="X26" s="215">
        <v>837234</v>
      </c>
      <c r="Y26" s="215">
        <v>186040</v>
      </c>
      <c r="Z26" s="291">
        <v>0</v>
      </c>
      <c r="AA26" s="215">
        <v>643339</v>
      </c>
      <c r="AB26" s="215">
        <v>10995.719</v>
      </c>
      <c r="AC26" s="215">
        <v>534</v>
      </c>
      <c r="AD26" s="215">
        <v>481233</v>
      </c>
      <c r="AE26" s="215">
        <v>21253</v>
      </c>
      <c r="AF26" s="215">
        <v>605.424</v>
      </c>
      <c r="AG26" s="215">
        <v>84291</v>
      </c>
      <c r="AH26" s="215">
        <v>10648</v>
      </c>
      <c r="AI26" s="216">
        <v>513237</v>
      </c>
      <c r="AJ26" s="215">
        <v>81815</v>
      </c>
      <c r="AK26" s="216">
        <v>64.612</v>
      </c>
      <c r="AL26" s="215">
        <v>0</v>
      </c>
      <c r="AM26" s="215">
        <v>78708</v>
      </c>
      <c r="AN26" s="215">
        <v>0</v>
      </c>
      <c r="AO26" s="215">
        <v>56889</v>
      </c>
      <c r="AP26" s="215">
        <v>-3190</v>
      </c>
      <c r="AQ26" s="205">
        <v>1012</v>
      </c>
      <c r="AR26" s="216">
        <v>14702</v>
      </c>
      <c r="AS26" s="215">
        <v>32</v>
      </c>
      <c r="AT26" s="216">
        <v>17442</v>
      </c>
      <c r="AU26" s="216">
        <v>-3693.494</v>
      </c>
      <c r="AV26" s="215">
        <v>150</v>
      </c>
      <c r="AW26" s="215">
        <v>23</v>
      </c>
      <c r="AX26" s="215">
        <v>0</v>
      </c>
      <c r="AY26" s="215">
        <v>0</v>
      </c>
      <c r="AZ26" s="215">
        <v>191</v>
      </c>
      <c r="BA26" s="215">
        <v>2866</v>
      </c>
      <c r="BB26" s="215">
        <v>38</v>
      </c>
      <c r="BC26" s="215">
        <v>520.493</v>
      </c>
      <c r="BD26" s="215">
        <v>3</v>
      </c>
      <c r="BE26" s="215">
        <v>-2882</v>
      </c>
      <c r="BF26" s="215">
        <v>0</v>
      </c>
      <c r="BG26" s="215">
        <v>0</v>
      </c>
      <c r="BH26" s="215">
        <v>0</v>
      </c>
      <c r="BJ26" s="39">
        <f t="shared" si="0"/>
        <v>37747893.754</v>
      </c>
      <c r="BK26" s="39"/>
      <c r="BL26" s="39">
        <f t="shared" si="1"/>
        <v>7065083</v>
      </c>
      <c r="BM26" s="39">
        <f t="shared" si="2"/>
        <v>30682810.754</v>
      </c>
      <c r="BN26" s="216"/>
      <c r="BO26" s="209"/>
    </row>
    <row r="27" spans="1:67" ht="11.25" customHeight="1" outlineLevel="1">
      <c r="A27" s="214" t="s">
        <v>289</v>
      </c>
      <c r="B27" s="216">
        <v>0</v>
      </c>
      <c r="C27" s="216">
        <v>0</v>
      </c>
      <c r="D27" s="205">
        <v>0</v>
      </c>
      <c r="E27" s="205">
        <v>0</v>
      </c>
      <c r="F27" s="215">
        <v>-98</v>
      </c>
      <c r="G27" s="215">
        <v>0</v>
      </c>
      <c r="H27" s="215">
        <v>3959</v>
      </c>
      <c r="I27" s="215">
        <v>5712</v>
      </c>
      <c r="J27" s="215">
        <v>0</v>
      </c>
      <c r="K27" s="215">
        <v>-2025</v>
      </c>
      <c r="L27" s="215">
        <v>0</v>
      </c>
      <c r="M27" s="216">
        <v>0</v>
      </c>
      <c r="N27" s="216">
        <v>0</v>
      </c>
      <c r="O27" s="216">
        <v>0</v>
      </c>
      <c r="P27" s="216">
        <v>0</v>
      </c>
      <c r="Q27" s="216">
        <v>0</v>
      </c>
      <c r="R27" s="215">
        <v>-4026</v>
      </c>
      <c r="S27" s="205">
        <v>0</v>
      </c>
      <c r="T27" s="215"/>
      <c r="U27" s="215">
        <v>0</v>
      </c>
      <c r="V27" s="216">
        <v>2064</v>
      </c>
      <c r="W27" s="216">
        <v>0</v>
      </c>
      <c r="X27" s="216">
        <v>0</v>
      </c>
      <c r="Y27" s="216">
        <v>0</v>
      </c>
      <c r="Z27" s="216">
        <v>0</v>
      </c>
      <c r="AA27" s="216">
        <v>0</v>
      </c>
      <c r="AB27" s="215">
        <v>0</v>
      </c>
      <c r="AC27" s="215">
        <v>0</v>
      </c>
      <c r="AD27" s="215">
        <v>602</v>
      </c>
      <c r="AE27" s="215">
        <v>0</v>
      </c>
      <c r="AF27" s="215">
        <v>0</v>
      </c>
      <c r="AG27" s="215">
        <v>0</v>
      </c>
      <c r="AH27" s="215">
        <v>0</v>
      </c>
      <c r="AI27" s="216">
        <v>0</v>
      </c>
      <c r="AJ27" s="215">
        <v>0</v>
      </c>
      <c r="AK27" s="216">
        <v>0</v>
      </c>
      <c r="AL27" s="215">
        <v>0</v>
      </c>
      <c r="AM27" s="215">
        <v>0</v>
      </c>
      <c r="AN27" s="215">
        <v>0</v>
      </c>
      <c r="AO27" s="215">
        <v>5572</v>
      </c>
      <c r="AP27" s="215">
        <v>0</v>
      </c>
      <c r="AQ27" s="215">
        <v>0</v>
      </c>
      <c r="AR27" s="215">
        <v>0</v>
      </c>
      <c r="AS27" s="215">
        <v>0</v>
      </c>
      <c r="AT27" s="216">
        <v>140430</v>
      </c>
      <c r="AU27" s="216">
        <v>0</v>
      </c>
      <c r="AV27" s="215">
        <v>0</v>
      </c>
      <c r="AW27" s="215">
        <v>0</v>
      </c>
      <c r="AX27" s="215">
        <v>0</v>
      </c>
      <c r="AY27" s="215">
        <v>0</v>
      </c>
      <c r="AZ27" s="215">
        <v>0</v>
      </c>
      <c r="BA27" s="215">
        <v>0</v>
      </c>
      <c r="BB27" s="215">
        <v>0</v>
      </c>
      <c r="BC27" s="215">
        <v>0</v>
      </c>
      <c r="BD27" s="215">
        <v>0</v>
      </c>
      <c r="BE27" s="215">
        <v>0</v>
      </c>
      <c r="BF27" s="215">
        <v>0</v>
      </c>
      <c r="BG27" s="215">
        <v>0</v>
      </c>
      <c r="BH27" s="215">
        <v>0</v>
      </c>
      <c r="BJ27" s="39">
        <f t="shared" si="0"/>
        <v>152190</v>
      </c>
      <c r="BK27" s="39"/>
      <c r="BL27" s="39">
        <f t="shared" si="1"/>
        <v>140430</v>
      </c>
      <c r="BM27" s="39">
        <f t="shared" si="2"/>
        <v>11760</v>
      </c>
      <c r="BN27" s="216"/>
      <c r="BO27" s="209"/>
    </row>
    <row r="28" spans="1:67" ht="11.25" customHeight="1" outlineLevel="1">
      <c r="A28" s="214" t="s">
        <v>290</v>
      </c>
      <c r="B28" s="216">
        <v>5959479</v>
      </c>
      <c r="C28" s="295">
        <v>1570057</v>
      </c>
      <c r="D28" s="216">
        <v>16183</v>
      </c>
      <c r="E28" s="216">
        <v>2095</v>
      </c>
      <c r="F28" s="215">
        <v>7043016</v>
      </c>
      <c r="G28" s="215">
        <v>4640117</v>
      </c>
      <c r="H28" s="215">
        <v>4519169</v>
      </c>
      <c r="I28" s="215">
        <v>4135939</v>
      </c>
      <c r="J28" s="215">
        <v>74282</v>
      </c>
      <c r="K28" s="215">
        <v>1620876</v>
      </c>
      <c r="L28" s="215">
        <v>1820633</v>
      </c>
      <c r="M28" s="216">
        <v>618091</v>
      </c>
      <c r="N28" s="215">
        <v>323660</v>
      </c>
      <c r="O28" s="216">
        <v>1497885</v>
      </c>
      <c r="P28" s="216">
        <v>1994254</v>
      </c>
      <c r="Q28" s="216">
        <v>470686</v>
      </c>
      <c r="R28" s="215">
        <v>1253948</v>
      </c>
      <c r="S28" s="205">
        <v>0</v>
      </c>
      <c r="T28" s="215">
        <v>1510115</v>
      </c>
      <c r="U28" s="215">
        <v>1750493</v>
      </c>
      <c r="V28" s="216">
        <v>945740</v>
      </c>
      <c r="W28" s="216">
        <v>20040</v>
      </c>
      <c r="X28" s="215">
        <v>751126</v>
      </c>
      <c r="Y28" s="215">
        <v>1451890</v>
      </c>
      <c r="Z28" s="216">
        <v>0</v>
      </c>
      <c r="AA28" s="215">
        <v>773911</v>
      </c>
      <c r="AB28" s="215">
        <v>1553508.161</v>
      </c>
      <c r="AC28" s="215">
        <v>895223</v>
      </c>
      <c r="AD28" s="215">
        <v>669227</v>
      </c>
      <c r="AE28" s="215">
        <v>1045995</v>
      </c>
      <c r="AF28" s="215">
        <v>95666.118</v>
      </c>
      <c r="AG28" s="215">
        <v>596536</v>
      </c>
      <c r="AH28" s="215">
        <v>49586</v>
      </c>
      <c r="AI28" s="216">
        <v>423719</v>
      </c>
      <c r="AJ28" s="215">
        <v>772387</v>
      </c>
      <c r="AK28" s="216">
        <v>56595.933</v>
      </c>
      <c r="AL28" s="215">
        <v>346347</v>
      </c>
      <c r="AM28" s="215">
        <v>173844</v>
      </c>
      <c r="AN28" s="215">
        <v>12603</v>
      </c>
      <c r="AO28" s="215">
        <v>178442</v>
      </c>
      <c r="AP28" s="215">
        <v>253025</v>
      </c>
      <c r="AQ28" s="215">
        <v>241529</v>
      </c>
      <c r="AR28" s="216">
        <v>176251</v>
      </c>
      <c r="AS28" s="215">
        <v>15780</v>
      </c>
      <c r="AT28" s="216">
        <v>0</v>
      </c>
      <c r="AU28" s="216">
        <v>130977.748</v>
      </c>
      <c r="AV28" s="215">
        <v>186136</v>
      </c>
      <c r="AW28" s="215">
        <v>127702</v>
      </c>
      <c r="AX28" s="215">
        <v>130478</v>
      </c>
      <c r="AY28" s="215">
        <f>73816</f>
        <v>73816</v>
      </c>
      <c r="AZ28" s="215">
        <v>56996</v>
      </c>
      <c r="BA28" s="215">
        <v>56444</v>
      </c>
      <c r="BB28" s="215">
        <v>56067</v>
      </c>
      <c r="BC28" s="215">
        <v>44600.22</v>
      </c>
      <c r="BD28" s="215">
        <v>29962</v>
      </c>
      <c r="BE28" s="215">
        <v>19199</v>
      </c>
      <c r="BF28" s="215">
        <v>5946</v>
      </c>
      <c r="BG28" s="216">
        <v>2662</v>
      </c>
      <c r="BH28" s="216">
        <v>668</v>
      </c>
      <c r="BJ28" s="39">
        <f t="shared" si="0"/>
        <v>53241603.18</v>
      </c>
      <c r="BK28" s="39"/>
      <c r="BL28" s="39">
        <f t="shared" si="1"/>
        <v>7780574</v>
      </c>
      <c r="BM28" s="39">
        <f t="shared" si="2"/>
        <v>45461029.18</v>
      </c>
      <c r="BN28" s="216"/>
      <c r="BO28" s="209"/>
    </row>
    <row r="29" spans="1:67" ht="11.25" customHeight="1" outlineLevel="1">
      <c r="A29" s="214" t="s">
        <v>291</v>
      </c>
      <c r="B29" s="205">
        <v>0</v>
      </c>
      <c r="C29" s="205">
        <v>0</v>
      </c>
      <c r="D29" s="205">
        <v>0</v>
      </c>
      <c r="E29" s="205">
        <v>0</v>
      </c>
      <c r="F29" s="215">
        <v>0</v>
      </c>
      <c r="G29" s="215">
        <v>0</v>
      </c>
      <c r="H29" s="215">
        <v>0</v>
      </c>
      <c r="I29" s="215">
        <v>0</v>
      </c>
      <c r="J29" s="215">
        <v>0</v>
      </c>
      <c r="K29" s="215">
        <v>0</v>
      </c>
      <c r="L29" s="205">
        <v>0</v>
      </c>
      <c r="M29" s="216">
        <v>0</v>
      </c>
      <c r="N29" s="216">
        <v>0</v>
      </c>
      <c r="O29" s="216">
        <v>0</v>
      </c>
      <c r="P29" s="216">
        <v>0</v>
      </c>
      <c r="Q29" s="216">
        <v>0</v>
      </c>
      <c r="R29" s="216">
        <v>0</v>
      </c>
      <c r="S29" s="216">
        <v>0</v>
      </c>
      <c r="T29" s="216">
        <v>0</v>
      </c>
      <c r="U29" s="215">
        <v>0</v>
      </c>
      <c r="V29" s="216">
        <v>0</v>
      </c>
      <c r="W29" s="216">
        <v>0</v>
      </c>
      <c r="X29" s="216">
        <v>0</v>
      </c>
      <c r="Y29" s="216">
        <v>0</v>
      </c>
      <c r="Z29" s="216">
        <v>0</v>
      </c>
      <c r="AA29" s="216">
        <v>0</v>
      </c>
      <c r="AB29" s="215">
        <v>0</v>
      </c>
      <c r="AC29" s="215">
        <v>0</v>
      </c>
      <c r="AD29" s="215">
        <v>0</v>
      </c>
      <c r="AE29" s="215">
        <v>0</v>
      </c>
      <c r="AF29" s="215">
        <v>0</v>
      </c>
      <c r="AG29" s="215">
        <v>0</v>
      </c>
      <c r="AH29" s="215">
        <v>0</v>
      </c>
      <c r="AI29" s="216">
        <v>0</v>
      </c>
      <c r="AJ29" s="215">
        <v>0</v>
      </c>
      <c r="AK29" s="216">
        <v>0</v>
      </c>
      <c r="AL29" s="215">
        <v>0</v>
      </c>
      <c r="AM29" s="215">
        <v>0</v>
      </c>
      <c r="AN29" s="215">
        <v>0</v>
      </c>
      <c r="AO29" s="215">
        <v>0</v>
      </c>
      <c r="AP29" s="215">
        <v>0</v>
      </c>
      <c r="AQ29" s="215">
        <v>0</v>
      </c>
      <c r="AR29" s="215">
        <v>0</v>
      </c>
      <c r="AS29" s="215">
        <v>0</v>
      </c>
      <c r="AT29" s="215">
        <v>0</v>
      </c>
      <c r="AU29" s="215">
        <v>0</v>
      </c>
      <c r="AV29" s="215">
        <v>0</v>
      </c>
      <c r="AW29" s="215">
        <v>0</v>
      </c>
      <c r="AX29" s="215">
        <v>0</v>
      </c>
      <c r="AY29" s="215">
        <v>0</v>
      </c>
      <c r="AZ29" s="215">
        <v>0</v>
      </c>
      <c r="BA29" s="215">
        <v>0</v>
      </c>
      <c r="BB29" s="215">
        <v>0</v>
      </c>
      <c r="BC29" s="215">
        <v>0</v>
      </c>
      <c r="BD29" s="215">
        <v>0</v>
      </c>
      <c r="BE29" s="215">
        <v>0</v>
      </c>
      <c r="BF29" s="215">
        <v>0</v>
      </c>
      <c r="BG29" s="215">
        <v>0</v>
      </c>
      <c r="BH29" s="215">
        <v>0</v>
      </c>
      <c r="BJ29" s="39">
        <f t="shared" si="0"/>
        <v>0</v>
      </c>
      <c r="BK29" s="39"/>
      <c r="BL29" s="39">
        <f t="shared" si="1"/>
        <v>0</v>
      </c>
      <c r="BM29" s="39">
        <f t="shared" si="2"/>
        <v>0</v>
      </c>
      <c r="BN29" s="216"/>
      <c r="BO29" s="209"/>
    </row>
    <row r="30" spans="1:67" ht="11.25" customHeight="1" outlineLevel="1">
      <c r="A30" s="214" t="s">
        <v>292</v>
      </c>
      <c r="B30" s="205">
        <v>0</v>
      </c>
      <c r="C30" s="205">
        <v>0</v>
      </c>
      <c r="D30" s="205">
        <v>0</v>
      </c>
      <c r="E30" s="20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6">
        <v>0</v>
      </c>
      <c r="N30" s="216">
        <v>0</v>
      </c>
      <c r="O30" s="216">
        <v>0</v>
      </c>
      <c r="P30" s="216">
        <v>0</v>
      </c>
      <c r="Q30" s="216">
        <v>0</v>
      </c>
      <c r="R30" s="216">
        <v>0</v>
      </c>
      <c r="S30" s="216">
        <v>0</v>
      </c>
      <c r="T30" s="216">
        <v>0</v>
      </c>
      <c r="U30" s="215">
        <v>0</v>
      </c>
      <c r="V30" s="216">
        <v>0</v>
      </c>
      <c r="W30" s="216">
        <v>0</v>
      </c>
      <c r="X30" s="216">
        <v>0</v>
      </c>
      <c r="Y30" s="216">
        <v>0</v>
      </c>
      <c r="Z30" s="216">
        <v>0</v>
      </c>
      <c r="AA30" s="216">
        <v>0</v>
      </c>
      <c r="AB30" s="215">
        <v>0</v>
      </c>
      <c r="AC30" s="215">
        <v>0</v>
      </c>
      <c r="AD30" s="215">
        <v>0</v>
      </c>
      <c r="AE30" s="215">
        <v>0</v>
      </c>
      <c r="AF30" s="215">
        <v>0</v>
      </c>
      <c r="AG30" s="215">
        <v>0</v>
      </c>
      <c r="AH30" s="215">
        <v>0</v>
      </c>
      <c r="AI30" s="216">
        <v>0</v>
      </c>
      <c r="AJ30" s="215">
        <v>0</v>
      </c>
      <c r="AK30" s="216">
        <v>0</v>
      </c>
      <c r="AL30" s="215">
        <v>0</v>
      </c>
      <c r="AM30" s="215">
        <v>0</v>
      </c>
      <c r="AN30" s="215">
        <v>0</v>
      </c>
      <c r="AO30" s="215">
        <v>0</v>
      </c>
      <c r="AP30" s="215">
        <v>0</v>
      </c>
      <c r="AQ30" s="215">
        <v>0</v>
      </c>
      <c r="AR30" s="215">
        <v>0</v>
      </c>
      <c r="AS30" s="215">
        <v>0</v>
      </c>
      <c r="AT30" s="215">
        <v>0</v>
      </c>
      <c r="AU30" s="215">
        <v>0</v>
      </c>
      <c r="AV30" s="215">
        <v>0</v>
      </c>
      <c r="AW30" s="215">
        <v>0</v>
      </c>
      <c r="AX30" s="215">
        <v>0</v>
      </c>
      <c r="AY30" s="215">
        <v>0</v>
      </c>
      <c r="AZ30" s="215">
        <v>0</v>
      </c>
      <c r="BA30" s="215">
        <v>0</v>
      </c>
      <c r="BB30" s="215">
        <v>0</v>
      </c>
      <c r="BC30" s="215">
        <v>0</v>
      </c>
      <c r="BD30" s="215">
        <v>0</v>
      </c>
      <c r="BE30" s="215">
        <v>0</v>
      </c>
      <c r="BF30" s="215">
        <v>0</v>
      </c>
      <c r="BG30" s="215">
        <v>0</v>
      </c>
      <c r="BH30" s="215">
        <v>0</v>
      </c>
      <c r="BJ30" s="39">
        <f t="shared" si="0"/>
        <v>0</v>
      </c>
      <c r="BK30" s="39"/>
      <c r="BL30" s="39">
        <f t="shared" si="1"/>
        <v>0</v>
      </c>
      <c r="BM30" s="39">
        <f t="shared" si="2"/>
        <v>0</v>
      </c>
      <c r="BN30" s="216"/>
      <c r="BO30" s="209"/>
    </row>
    <row r="31" spans="1:67" ht="11.25" customHeight="1" outlineLevel="1">
      <c r="A31" s="214" t="s">
        <v>293</v>
      </c>
      <c r="B31" s="205">
        <v>-8511</v>
      </c>
      <c r="C31" s="292">
        <v>-5500</v>
      </c>
      <c r="D31" s="205">
        <v>0</v>
      </c>
      <c r="E31" s="205">
        <v>0</v>
      </c>
      <c r="F31" s="215">
        <v>-79392</v>
      </c>
      <c r="G31" s="215">
        <v>-40000</v>
      </c>
      <c r="H31" s="215">
        <v>-11159</v>
      </c>
      <c r="I31" s="215">
        <v>-42857</v>
      </c>
      <c r="J31" s="215">
        <v>0</v>
      </c>
      <c r="K31" s="215">
        <v>-1875</v>
      </c>
      <c r="L31" s="215">
        <v>-4050</v>
      </c>
      <c r="M31" s="216">
        <v>0</v>
      </c>
      <c r="N31" s="216">
        <v>0</v>
      </c>
      <c r="O31" s="216">
        <v>32864</v>
      </c>
      <c r="P31" s="216">
        <v>-4583</v>
      </c>
      <c r="Q31" s="216">
        <v>-417</v>
      </c>
      <c r="R31" s="215">
        <v>-77270</v>
      </c>
      <c r="S31" s="216">
        <v>0</v>
      </c>
      <c r="T31" s="215">
        <v>-15000</v>
      </c>
      <c r="U31" s="215">
        <v>3214</v>
      </c>
      <c r="V31" s="216">
        <v>-4737</v>
      </c>
      <c r="W31" s="216">
        <v>-3104</v>
      </c>
      <c r="X31" s="215">
        <v>0</v>
      </c>
      <c r="Y31" s="215">
        <v>-325</v>
      </c>
      <c r="Z31" s="291">
        <v>-1000</v>
      </c>
      <c r="AA31" s="216">
        <v>0</v>
      </c>
      <c r="AB31" s="215">
        <v>0</v>
      </c>
      <c r="AC31" s="215">
        <v>-678</v>
      </c>
      <c r="AD31" s="215">
        <v>-1778</v>
      </c>
      <c r="AE31" s="215">
        <v>0</v>
      </c>
      <c r="AF31" s="215">
        <v>1446.44</v>
      </c>
      <c r="AG31" s="215">
        <v>-3243</v>
      </c>
      <c r="AH31" s="215">
        <v>-221</v>
      </c>
      <c r="AI31" s="216">
        <v>-2400</v>
      </c>
      <c r="AJ31" s="215">
        <v>-7000</v>
      </c>
      <c r="AK31" s="216">
        <v>0</v>
      </c>
      <c r="AL31" s="215">
        <v>0</v>
      </c>
      <c r="AM31" s="215">
        <v>0</v>
      </c>
      <c r="AN31" s="215">
        <v>0</v>
      </c>
      <c r="AO31" s="215">
        <v>455</v>
      </c>
      <c r="AP31" s="215">
        <v>0</v>
      </c>
      <c r="AQ31" s="215">
        <v>-1276</v>
      </c>
      <c r="AR31" s="215">
        <v>0</v>
      </c>
      <c r="AS31" s="215">
        <v>241</v>
      </c>
      <c r="AT31" s="215">
        <v>0</v>
      </c>
      <c r="AU31" s="215">
        <v>0</v>
      </c>
      <c r="AV31" s="215">
        <v>-2402</v>
      </c>
      <c r="AW31" s="215">
        <v>0</v>
      </c>
      <c r="AX31" s="215">
        <v>0</v>
      </c>
      <c r="AY31" s="215">
        <v>0</v>
      </c>
      <c r="AZ31" s="215">
        <v>0</v>
      </c>
      <c r="BA31" s="215">
        <v>0</v>
      </c>
      <c r="BB31" s="215">
        <v>0</v>
      </c>
      <c r="BC31" s="215">
        <v>0</v>
      </c>
      <c r="BD31" s="215">
        <v>0</v>
      </c>
      <c r="BE31" s="215">
        <v>0</v>
      </c>
      <c r="BF31" s="215">
        <v>120</v>
      </c>
      <c r="BG31" s="215">
        <v>0</v>
      </c>
      <c r="BH31" s="215">
        <v>0</v>
      </c>
      <c r="BJ31" s="39">
        <f t="shared" si="0"/>
        <v>-280437.56</v>
      </c>
      <c r="BK31" s="39"/>
      <c r="BL31" s="39">
        <f t="shared" si="1"/>
        <v>-10069</v>
      </c>
      <c r="BM31" s="39">
        <f t="shared" si="2"/>
        <v>-270368.56</v>
      </c>
      <c r="BN31" s="216"/>
      <c r="BO31" s="209"/>
    </row>
    <row r="32" spans="1:67" ht="11.25" customHeight="1" outlineLevel="1">
      <c r="A32" s="214" t="s">
        <v>294</v>
      </c>
      <c r="B32" s="205">
        <v>0</v>
      </c>
      <c r="C32" s="205">
        <v>0</v>
      </c>
      <c r="D32" s="205">
        <v>0</v>
      </c>
      <c r="E32" s="205">
        <v>0</v>
      </c>
      <c r="F32" s="20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159368</v>
      </c>
      <c r="L32" s="215">
        <v>0</v>
      </c>
      <c r="M32" s="216">
        <v>0</v>
      </c>
      <c r="N32" s="216">
        <v>0</v>
      </c>
      <c r="O32" s="216">
        <v>0</v>
      </c>
      <c r="P32" s="216">
        <v>0</v>
      </c>
      <c r="Q32" s="216">
        <v>0</v>
      </c>
      <c r="R32" s="215">
        <v>-317557</v>
      </c>
      <c r="S32" s="215">
        <v>182427</v>
      </c>
      <c r="T32" s="215">
        <v>0</v>
      </c>
      <c r="U32" s="215">
        <v>0</v>
      </c>
      <c r="V32" s="216">
        <v>1821</v>
      </c>
      <c r="W32" s="216">
        <v>-1360</v>
      </c>
      <c r="X32" s="215">
        <v>0</v>
      </c>
      <c r="Y32" s="215">
        <v>0</v>
      </c>
      <c r="Z32" s="215">
        <v>0</v>
      </c>
      <c r="AA32" s="215">
        <v>0</v>
      </c>
      <c r="AB32" s="215">
        <v>0</v>
      </c>
      <c r="AC32" s="215">
        <v>0</v>
      </c>
      <c r="AD32" s="215">
        <v>0</v>
      </c>
      <c r="AE32" s="205">
        <v>0</v>
      </c>
      <c r="AF32" s="205">
        <v>0</v>
      </c>
      <c r="AG32" s="215">
        <v>0</v>
      </c>
      <c r="AH32" s="215">
        <v>0</v>
      </c>
      <c r="AI32" s="216">
        <v>0</v>
      </c>
      <c r="AJ32" s="215">
        <v>0</v>
      </c>
      <c r="AK32" s="216">
        <v>0</v>
      </c>
      <c r="AL32" s="215">
        <v>0</v>
      </c>
      <c r="AM32" s="215">
        <v>0</v>
      </c>
      <c r="AN32" s="215">
        <v>0</v>
      </c>
      <c r="AO32" s="215">
        <v>0</v>
      </c>
      <c r="AP32" s="215">
        <v>0</v>
      </c>
      <c r="AQ32" s="205">
        <v>0</v>
      </c>
      <c r="AR32" s="215">
        <v>0</v>
      </c>
      <c r="AS32" s="215">
        <v>0</v>
      </c>
      <c r="AT32" s="215">
        <v>0</v>
      </c>
      <c r="AU32" s="215">
        <v>0</v>
      </c>
      <c r="AV32" s="205">
        <v>0</v>
      </c>
      <c r="AW32" s="215">
        <v>0</v>
      </c>
      <c r="AX32" s="215">
        <v>0</v>
      </c>
      <c r="AY32" s="218">
        <v>35</v>
      </c>
      <c r="AZ32" s="215">
        <v>0</v>
      </c>
      <c r="BA32" s="215">
        <v>0</v>
      </c>
      <c r="BB32" s="215">
        <v>0</v>
      </c>
      <c r="BC32" s="215">
        <v>0</v>
      </c>
      <c r="BD32" s="215">
        <v>0</v>
      </c>
      <c r="BE32" s="215">
        <v>0</v>
      </c>
      <c r="BF32" s="215">
        <v>0</v>
      </c>
      <c r="BG32" s="215">
        <v>0</v>
      </c>
      <c r="BH32" s="215">
        <v>0</v>
      </c>
      <c r="BJ32" s="39">
        <f t="shared" si="0"/>
        <v>24734</v>
      </c>
      <c r="BK32" s="39"/>
      <c r="BL32" s="39">
        <f t="shared" si="1"/>
        <v>0</v>
      </c>
      <c r="BM32" s="39">
        <f t="shared" si="2"/>
        <v>24734</v>
      </c>
      <c r="BN32" s="216"/>
      <c r="BO32" s="209"/>
    </row>
    <row r="33" spans="1:67" ht="11.25" customHeight="1">
      <c r="A33" s="212" t="s">
        <v>428</v>
      </c>
      <c r="B33" s="216">
        <f>SUM(B24:B32)</f>
        <v>12983363</v>
      </c>
      <c r="C33" s="216">
        <f aca="true" t="shared" si="6" ref="C33:BH33">SUM(C24:C32)</f>
        <v>4069094</v>
      </c>
      <c r="D33" s="216">
        <f t="shared" si="6"/>
        <v>16183</v>
      </c>
      <c r="E33" s="216">
        <f t="shared" si="6"/>
        <v>2095</v>
      </c>
      <c r="F33" s="216">
        <f t="shared" si="6"/>
        <v>15809198</v>
      </c>
      <c r="G33" s="216">
        <f t="shared" si="6"/>
        <v>9302813</v>
      </c>
      <c r="H33" s="216">
        <f t="shared" si="6"/>
        <v>8702964</v>
      </c>
      <c r="I33" s="216">
        <f t="shared" si="6"/>
        <v>4765116</v>
      </c>
      <c r="J33" s="216">
        <f t="shared" si="6"/>
        <v>74282</v>
      </c>
      <c r="K33" s="216">
        <f t="shared" si="6"/>
        <v>3385662</v>
      </c>
      <c r="L33" s="216">
        <f t="shared" si="6"/>
        <v>3203972</v>
      </c>
      <c r="M33" s="216">
        <f t="shared" si="6"/>
        <v>624166</v>
      </c>
      <c r="N33" s="216">
        <f t="shared" si="6"/>
        <v>455202</v>
      </c>
      <c r="O33" s="216">
        <f t="shared" si="6"/>
        <v>2541758</v>
      </c>
      <c r="P33" s="216">
        <f t="shared" si="6"/>
        <v>2009188</v>
      </c>
      <c r="Q33" s="216">
        <f t="shared" si="6"/>
        <v>472550</v>
      </c>
      <c r="R33" s="216">
        <f t="shared" si="6"/>
        <v>2449645</v>
      </c>
      <c r="S33" s="216">
        <f t="shared" si="6"/>
        <v>182427</v>
      </c>
      <c r="T33" s="216">
        <f t="shared" si="6"/>
        <v>1948413</v>
      </c>
      <c r="U33" s="216">
        <f t="shared" si="6"/>
        <v>2137225</v>
      </c>
      <c r="V33" s="216">
        <f t="shared" si="6"/>
        <v>2063316</v>
      </c>
      <c r="W33" s="216">
        <f t="shared" si="6"/>
        <v>34069</v>
      </c>
      <c r="X33" s="216">
        <f t="shared" si="6"/>
        <v>1588360</v>
      </c>
      <c r="Y33" s="216">
        <f t="shared" si="6"/>
        <v>1637605</v>
      </c>
      <c r="Z33" s="216">
        <f t="shared" si="6"/>
        <v>1678283</v>
      </c>
      <c r="AA33" s="216">
        <f t="shared" si="6"/>
        <v>1421966</v>
      </c>
      <c r="AB33" s="216">
        <f t="shared" si="6"/>
        <v>1564503.8800000001</v>
      </c>
      <c r="AC33" s="216">
        <f t="shared" si="6"/>
        <v>895079</v>
      </c>
      <c r="AD33" s="216">
        <f t="shared" si="6"/>
        <v>1149284</v>
      </c>
      <c r="AE33" s="216">
        <f t="shared" si="6"/>
        <v>1067248</v>
      </c>
      <c r="AF33" s="216">
        <f t="shared" si="6"/>
        <v>97717.982</v>
      </c>
      <c r="AG33" s="216">
        <f t="shared" si="6"/>
        <v>677584</v>
      </c>
      <c r="AH33" s="216">
        <f t="shared" si="6"/>
        <v>60013</v>
      </c>
      <c r="AI33" s="216">
        <f t="shared" si="6"/>
        <v>934556</v>
      </c>
      <c r="AJ33" s="216">
        <f t="shared" si="6"/>
        <v>847202</v>
      </c>
      <c r="AK33" s="216">
        <f t="shared" si="6"/>
        <v>56660.545</v>
      </c>
      <c r="AL33" s="216">
        <f t="shared" si="6"/>
        <v>346347</v>
      </c>
      <c r="AM33" s="216">
        <f t="shared" si="6"/>
        <v>252552</v>
      </c>
      <c r="AN33" s="216">
        <f t="shared" si="6"/>
        <v>12603</v>
      </c>
      <c r="AO33" s="216">
        <f t="shared" si="6"/>
        <v>241358</v>
      </c>
      <c r="AP33" s="216">
        <f t="shared" si="6"/>
        <v>249835</v>
      </c>
      <c r="AQ33" s="216">
        <f t="shared" si="6"/>
        <v>241265</v>
      </c>
      <c r="AR33" s="216">
        <f t="shared" si="6"/>
        <v>190953</v>
      </c>
      <c r="AS33" s="216">
        <f t="shared" si="6"/>
        <v>16053</v>
      </c>
      <c r="AT33" s="216">
        <f t="shared" si="6"/>
        <v>157872</v>
      </c>
      <c r="AU33" s="216">
        <f t="shared" si="6"/>
        <v>127284.254</v>
      </c>
      <c r="AV33" s="216">
        <f t="shared" si="6"/>
        <v>183884</v>
      </c>
      <c r="AW33" s="216">
        <f t="shared" si="6"/>
        <v>127725</v>
      </c>
      <c r="AX33" s="216">
        <f t="shared" si="6"/>
        <v>130478</v>
      </c>
      <c r="AY33" s="216">
        <f t="shared" si="6"/>
        <v>73851</v>
      </c>
      <c r="AZ33" s="216">
        <f t="shared" si="6"/>
        <v>57187</v>
      </c>
      <c r="BA33" s="216">
        <f t="shared" si="6"/>
        <v>59310</v>
      </c>
      <c r="BB33" s="216">
        <f t="shared" si="6"/>
        <v>56105</v>
      </c>
      <c r="BC33" s="216">
        <f t="shared" si="6"/>
        <v>45120.713</v>
      </c>
      <c r="BD33" s="216">
        <f t="shared" si="6"/>
        <v>29965</v>
      </c>
      <c r="BE33" s="216">
        <f t="shared" si="6"/>
        <v>16317</v>
      </c>
      <c r="BF33" s="216">
        <f t="shared" si="6"/>
        <v>6066</v>
      </c>
      <c r="BG33" s="216">
        <f t="shared" si="6"/>
        <v>2662</v>
      </c>
      <c r="BH33" s="216">
        <f t="shared" si="6"/>
        <v>668</v>
      </c>
      <c r="BJ33" s="39">
        <f t="shared" si="0"/>
        <v>93534224.37399998</v>
      </c>
      <c r="BK33" s="39"/>
      <c r="BL33" s="39">
        <f t="shared" si="1"/>
        <v>16655301</v>
      </c>
      <c r="BM33" s="39">
        <f t="shared" si="2"/>
        <v>76878923.37399998</v>
      </c>
      <c r="BN33" s="216"/>
      <c r="BO33" s="209"/>
    </row>
    <row r="34" spans="1:67" ht="11.25" customHeight="1">
      <c r="A34" s="212"/>
      <c r="C34" s="292"/>
      <c r="F34" s="218"/>
      <c r="G34" s="218"/>
      <c r="H34" s="218"/>
      <c r="I34" s="218"/>
      <c r="J34" s="218"/>
      <c r="K34" s="218"/>
      <c r="L34" s="218"/>
      <c r="M34" s="216"/>
      <c r="N34" s="218"/>
      <c r="R34" s="218"/>
      <c r="S34" s="218"/>
      <c r="T34" s="218"/>
      <c r="U34" s="217"/>
      <c r="X34" s="218"/>
      <c r="Y34" s="218"/>
      <c r="Z34" s="291"/>
      <c r="AA34" s="218"/>
      <c r="AB34" s="218"/>
      <c r="AC34" s="218"/>
      <c r="AD34" s="218"/>
      <c r="AE34" s="218"/>
      <c r="AF34" s="218"/>
      <c r="AG34" s="218"/>
      <c r="AH34" s="218"/>
      <c r="AJ34" s="218"/>
      <c r="AL34" s="217"/>
      <c r="AM34" s="218"/>
      <c r="AN34" s="218"/>
      <c r="AO34" s="218"/>
      <c r="AP34" s="218"/>
      <c r="AQ34" s="218"/>
      <c r="AR34" s="228"/>
      <c r="AS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J34" s="39"/>
      <c r="BK34" s="39"/>
      <c r="BL34" s="39"/>
      <c r="BM34" s="39"/>
      <c r="BN34" s="216"/>
      <c r="BO34" s="209"/>
    </row>
    <row r="35" spans="1:67" ht="11.25" customHeight="1" outlineLevel="1">
      <c r="A35" s="212" t="s">
        <v>296</v>
      </c>
      <c r="C35" s="292"/>
      <c r="F35" s="218"/>
      <c r="G35" s="218"/>
      <c r="H35" s="218"/>
      <c r="I35" s="218"/>
      <c r="J35" s="218"/>
      <c r="K35" s="218"/>
      <c r="L35" s="218"/>
      <c r="M35" s="216"/>
      <c r="N35" s="218"/>
      <c r="R35" s="218"/>
      <c r="S35" s="218"/>
      <c r="T35" s="218"/>
      <c r="U35" s="217"/>
      <c r="X35" s="218"/>
      <c r="Y35" s="218"/>
      <c r="Z35" s="291"/>
      <c r="AA35" s="218"/>
      <c r="AB35" s="218"/>
      <c r="AC35" s="218"/>
      <c r="AD35" s="218"/>
      <c r="AE35" s="218"/>
      <c r="AF35" s="218"/>
      <c r="AG35" s="218"/>
      <c r="AH35" s="218"/>
      <c r="AJ35" s="218"/>
      <c r="AL35" s="217"/>
      <c r="AM35" s="218"/>
      <c r="AN35" s="218"/>
      <c r="AO35" s="218"/>
      <c r="AP35" s="218"/>
      <c r="AQ35" s="218"/>
      <c r="AR35" s="228"/>
      <c r="AS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J35" s="39"/>
      <c r="BK35" s="39"/>
      <c r="BL35" s="39"/>
      <c r="BM35" s="39"/>
      <c r="BN35" s="216"/>
      <c r="BO35" s="209"/>
    </row>
    <row r="36" spans="1:67" ht="11.25" customHeight="1" outlineLevel="1">
      <c r="A36" s="214" t="s">
        <v>297</v>
      </c>
      <c r="B36" s="216">
        <v>87422</v>
      </c>
      <c r="C36" s="293">
        <v>33183</v>
      </c>
      <c r="D36" s="216">
        <v>174</v>
      </c>
      <c r="E36" s="216">
        <v>0</v>
      </c>
      <c r="F36" s="215">
        <v>131643</v>
      </c>
      <c r="G36" s="215">
        <v>44753</v>
      </c>
      <c r="H36" s="215">
        <v>29064</v>
      </c>
      <c r="I36" s="215">
        <v>82140</v>
      </c>
      <c r="J36" s="215">
        <v>2124</v>
      </c>
      <c r="K36" s="215">
        <v>25124</v>
      </c>
      <c r="L36" s="215">
        <v>23208</v>
      </c>
      <c r="M36" s="216">
        <v>4252</v>
      </c>
      <c r="N36" s="215">
        <v>7484</v>
      </c>
      <c r="O36" s="216">
        <v>34024</v>
      </c>
      <c r="P36" s="216">
        <v>5751</v>
      </c>
      <c r="Q36" s="216">
        <v>1371</v>
      </c>
      <c r="R36" s="215">
        <v>26336</v>
      </c>
      <c r="S36" s="215">
        <v>0</v>
      </c>
      <c r="T36" s="215">
        <v>12274</v>
      </c>
      <c r="U36" s="215">
        <v>6961</v>
      </c>
      <c r="V36" s="216">
        <v>18026</v>
      </c>
      <c r="W36" s="216">
        <v>356</v>
      </c>
      <c r="X36" s="215">
        <v>22934</v>
      </c>
      <c r="Y36" s="215">
        <v>22257</v>
      </c>
      <c r="Z36" s="291">
        <v>12138</v>
      </c>
      <c r="AA36" s="215">
        <v>11938</v>
      </c>
      <c r="AB36" s="215">
        <v>9221.722</v>
      </c>
      <c r="AC36" s="215">
        <v>0</v>
      </c>
      <c r="AD36" s="215">
        <v>13069</v>
      </c>
      <c r="AE36" s="215">
        <v>4525</v>
      </c>
      <c r="AF36" s="215">
        <v>1450.264</v>
      </c>
      <c r="AG36" s="215">
        <v>6196</v>
      </c>
      <c r="AH36" s="215">
        <v>517</v>
      </c>
      <c r="AI36" s="216">
        <v>1299</v>
      </c>
      <c r="AJ36" s="215">
        <v>15054</v>
      </c>
      <c r="AK36" s="216">
        <v>1007.497</v>
      </c>
      <c r="AL36" s="215">
        <v>819</v>
      </c>
      <c r="AM36" s="215">
        <v>3739</v>
      </c>
      <c r="AN36" s="215">
        <v>339</v>
      </c>
      <c r="AO36" s="215">
        <v>5237</v>
      </c>
      <c r="AP36" s="215">
        <v>3186</v>
      </c>
      <c r="AQ36" s="215">
        <v>1978</v>
      </c>
      <c r="AR36" s="216">
        <v>2110</v>
      </c>
      <c r="AS36" s="215">
        <v>0</v>
      </c>
      <c r="AT36" s="216">
        <v>1977</v>
      </c>
      <c r="AU36" s="216">
        <v>0</v>
      </c>
      <c r="AV36" s="215">
        <v>690</v>
      </c>
      <c r="AW36" s="215">
        <v>1149</v>
      </c>
      <c r="AX36" s="215">
        <v>1425</v>
      </c>
      <c r="AY36" s="215">
        <v>375</v>
      </c>
      <c r="AZ36" s="215">
        <v>298</v>
      </c>
      <c r="BA36" s="215">
        <v>829</v>
      </c>
      <c r="BB36" s="215">
        <v>597</v>
      </c>
      <c r="BC36" s="215">
        <v>143.632</v>
      </c>
      <c r="BD36" s="215">
        <v>0</v>
      </c>
      <c r="BE36" s="215">
        <v>1396</v>
      </c>
      <c r="BF36" s="215">
        <v>0</v>
      </c>
      <c r="BG36" s="215">
        <v>0</v>
      </c>
      <c r="BH36" s="215">
        <v>0</v>
      </c>
      <c r="BJ36" s="39">
        <f t="shared" si="0"/>
        <v>723564.1149999999</v>
      </c>
      <c r="BK36" s="39"/>
      <c r="BL36" s="39">
        <f t="shared" si="1"/>
        <v>109778</v>
      </c>
      <c r="BM36" s="39">
        <f t="shared" si="2"/>
        <v>613786.1149999999</v>
      </c>
      <c r="BN36" s="216"/>
      <c r="BO36" s="209"/>
    </row>
    <row r="37" spans="1:67" ht="11.25" customHeight="1" outlineLevel="1">
      <c r="A37" s="214" t="s">
        <v>298</v>
      </c>
      <c r="B37" s="205">
        <v>0</v>
      </c>
      <c r="C37" s="205">
        <v>0</v>
      </c>
      <c r="D37" s="205">
        <v>0</v>
      </c>
      <c r="E37" s="205">
        <v>0</v>
      </c>
      <c r="F37" s="215">
        <v>0</v>
      </c>
      <c r="G37" s="215">
        <v>1812</v>
      </c>
      <c r="H37" s="215">
        <v>0</v>
      </c>
      <c r="I37" s="215">
        <v>27231</v>
      </c>
      <c r="J37" s="215">
        <v>0</v>
      </c>
      <c r="K37" s="215">
        <v>0</v>
      </c>
      <c r="L37" s="215">
        <v>1177</v>
      </c>
      <c r="M37" s="216">
        <v>63</v>
      </c>
      <c r="N37" s="216">
        <v>0</v>
      </c>
      <c r="O37" s="216">
        <v>0</v>
      </c>
      <c r="P37" s="216">
        <v>0</v>
      </c>
      <c r="Q37" s="216">
        <v>0</v>
      </c>
      <c r="R37" s="215">
        <v>282</v>
      </c>
      <c r="S37" s="215">
        <v>0</v>
      </c>
      <c r="T37" s="215">
        <v>0</v>
      </c>
      <c r="U37" s="215">
        <v>0</v>
      </c>
      <c r="V37" s="216">
        <v>598</v>
      </c>
      <c r="W37" s="216">
        <v>0</v>
      </c>
      <c r="X37" s="215">
        <v>0</v>
      </c>
      <c r="Y37" s="215">
        <v>-217</v>
      </c>
      <c r="Z37" s="291">
        <v>0</v>
      </c>
      <c r="AA37" s="291">
        <v>0</v>
      </c>
      <c r="AB37" s="215">
        <v>298.676</v>
      </c>
      <c r="AC37" s="215">
        <v>925</v>
      </c>
      <c r="AD37" s="215">
        <v>0</v>
      </c>
      <c r="AE37" s="215">
        <v>54</v>
      </c>
      <c r="AF37" s="215">
        <v>0</v>
      </c>
      <c r="AG37" s="215">
        <v>0</v>
      </c>
      <c r="AH37" s="215">
        <v>0</v>
      </c>
      <c r="AI37" s="216">
        <v>0</v>
      </c>
      <c r="AJ37" s="215">
        <v>0</v>
      </c>
      <c r="AK37" s="216">
        <v>17.499</v>
      </c>
      <c r="AL37" s="215">
        <v>89</v>
      </c>
      <c r="AM37" s="215">
        <v>0</v>
      </c>
      <c r="AN37" s="215">
        <v>0</v>
      </c>
      <c r="AO37" s="215">
        <v>0</v>
      </c>
      <c r="AP37" s="215">
        <v>0</v>
      </c>
      <c r="AQ37" s="215">
        <v>68</v>
      </c>
      <c r="AR37" s="216">
        <v>0</v>
      </c>
      <c r="AS37" s="215">
        <v>19</v>
      </c>
      <c r="AT37" s="216">
        <v>0</v>
      </c>
      <c r="AU37" s="216">
        <v>0</v>
      </c>
      <c r="AV37" s="215">
        <v>160</v>
      </c>
      <c r="AW37" s="215">
        <v>0</v>
      </c>
      <c r="AX37" s="215">
        <v>32</v>
      </c>
      <c r="AY37" s="215">
        <v>95</v>
      </c>
      <c r="AZ37" s="216">
        <v>0</v>
      </c>
      <c r="BA37" s="216">
        <v>0</v>
      </c>
      <c r="BB37" s="215">
        <v>45</v>
      </c>
      <c r="BC37" s="215">
        <v>0</v>
      </c>
      <c r="BD37" s="215">
        <v>0</v>
      </c>
      <c r="BE37" s="215">
        <v>0</v>
      </c>
      <c r="BF37" s="215">
        <v>0</v>
      </c>
      <c r="BG37" s="215">
        <v>0</v>
      </c>
      <c r="BH37" s="215">
        <v>0</v>
      </c>
      <c r="BJ37" s="39">
        <f t="shared" si="0"/>
        <v>32749.175</v>
      </c>
      <c r="BK37" s="39"/>
      <c r="BL37" s="39">
        <f t="shared" si="1"/>
        <v>1046</v>
      </c>
      <c r="BM37" s="39">
        <f t="shared" si="2"/>
        <v>31703.175</v>
      </c>
      <c r="BN37" s="216"/>
      <c r="BO37" s="209"/>
    </row>
    <row r="38" spans="1:67" ht="11.25" customHeight="1" outlineLevel="1">
      <c r="A38" s="214" t="s">
        <v>299</v>
      </c>
      <c r="B38" s="205">
        <v>0</v>
      </c>
      <c r="C38" s="205">
        <v>0</v>
      </c>
      <c r="D38" s="205">
        <v>0</v>
      </c>
      <c r="E38" s="20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6">
        <v>0</v>
      </c>
      <c r="N38" s="216">
        <v>0</v>
      </c>
      <c r="O38" s="216">
        <v>0</v>
      </c>
      <c r="P38" s="216">
        <v>0</v>
      </c>
      <c r="Q38" s="216">
        <v>0</v>
      </c>
      <c r="R38" s="215">
        <v>0</v>
      </c>
      <c r="S38" s="215">
        <v>0</v>
      </c>
      <c r="T38" s="215">
        <v>0</v>
      </c>
      <c r="U38" s="215">
        <v>0</v>
      </c>
      <c r="V38" s="216">
        <v>0</v>
      </c>
      <c r="W38" s="216">
        <v>0</v>
      </c>
      <c r="X38" s="215">
        <v>0</v>
      </c>
      <c r="Y38" s="215">
        <v>0</v>
      </c>
      <c r="Z38" s="291">
        <v>0</v>
      </c>
      <c r="AA38" s="291">
        <v>0</v>
      </c>
      <c r="AB38" s="215">
        <v>0</v>
      </c>
      <c r="AC38" s="215">
        <v>0</v>
      </c>
      <c r="AD38" s="215">
        <v>0</v>
      </c>
      <c r="AE38" s="215">
        <v>0</v>
      </c>
      <c r="AF38" s="215">
        <v>0</v>
      </c>
      <c r="AG38" s="215">
        <v>0</v>
      </c>
      <c r="AH38" s="215">
        <v>0</v>
      </c>
      <c r="AI38" s="216">
        <v>0</v>
      </c>
      <c r="AJ38" s="215">
        <v>0</v>
      </c>
      <c r="AK38" s="215">
        <v>0</v>
      </c>
      <c r="AL38" s="215">
        <v>0</v>
      </c>
      <c r="AM38" s="215">
        <v>0</v>
      </c>
      <c r="AN38" s="215">
        <v>0</v>
      </c>
      <c r="AO38" s="215">
        <v>0</v>
      </c>
      <c r="AP38" s="215">
        <v>0</v>
      </c>
      <c r="AQ38" s="215">
        <v>0</v>
      </c>
      <c r="AR38" s="216">
        <v>0</v>
      </c>
      <c r="AS38" s="216">
        <v>0</v>
      </c>
      <c r="AT38" s="216">
        <v>0</v>
      </c>
      <c r="AU38" s="216">
        <v>0</v>
      </c>
      <c r="AV38" s="216">
        <v>0</v>
      </c>
      <c r="AW38" s="216">
        <v>0</v>
      </c>
      <c r="AX38" s="216">
        <v>0</v>
      </c>
      <c r="AY38" s="216">
        <v>0</v>
      </c>
      <c r="AZ38" s="216">
        <v>0</v>
      </c>
      <c r="BB38" s="216">
        <v>0</v>
      </c>
      <c r="BC38" s="215">
        <v>0</v>
      </c>
      <c r="BD38" s="215">
        <v>0</v>
      </c>
      <c r="BE38" s="215">
        <v>0</v>
      </c>
      <c r="BF38" s="215">
        <v>0</v>
      </c>
      <c r="BG38" s="215">
        <v>0</v>
      </c>
      <c r="BH38" s="215">
        <v>0</v>
      </c>
      <c r="BJ38" s="39">
        <f t="shared" si="0"/>
        <v>0</v>
      </c>
      <c r="BK38" s="39"/>
      <c r="BL38" s="39">
        <f t="shared" si="1"/>
        <v>0</v>
      </c>
      <c r="BM38" s="39">
        <f t="shared" si="2"/>
        <v>0</v>
      </c>
      <c r="BN38" s="216"/>
      <c r="BO38" s="209"/>
    </row>
    <row r="39" spans="1:67" ht="11.25" customHeight="1" outlineLevel="1">
      <c r="A39" s="214" t="s">
        <v>300</v>
      </c>
      <c r="B39" s="205">
        <v>0</v>
      </c>
      <c r="C39" s="205">
        <v>0</v>
      </c>
      <c r="D39" s="205">
        <v>0</v>
      </c>
      <c r="E39" s="20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0</v>
      </c>
      <c r="K39" s="215">
        <v>0</v>
      </c>
      <c r="L39" s="215">
        <v>0</v>
      </c>
      <c r="M39" s="216">
        <v>0</v>
      </c>
      <c r="N39" s="216">
        <v>0</v>
      </c>
      <c r="O39" s="216">
        <v>0</v>
      </c>
      <c r="P39" s="216">
        <v>0</v>
      </c>
      <c r="Q39" s="216">
        <v>0</v>
      </c>
      <c r="R39" s="215">
        <v>0</v>
      </c>
      <c r="S39" s="215">
        <v>0</v>
      </c>
      <c r="T39" s="215">
        <v>0</v>
      </c>
      <c r="U39" s="215">
        <v>0</v>
      </c>
      <c r="V39" s="216">
        <v>2342</v>
      </c>
      <c r="W39" s="216">
        <v>46</v>
      </c>
      <c r="X39" s="215">
        <v>0</v>
      </c>
      <c r="Y39" s="215">
        <v>0</v>
      </c>
      <c r="Z39" s="291">
        <v>0</v>
      </c>
      <c r="AA39" s="291">
        <v>0</v>
      </c>
      <c r="AB39" s="215">
        <v>0</v>
      </c>
      <c r="AC39" s="215">
        <v>0</v>
      </c>
      <c r="AD39" s="215">
        <v>0</v>
      </c>
      <c r="AE39" s="215">
        <v>0</v>
      </c>
      <c r="AF39" s="215">
        <v>0</v>
      </c>
      <c r="AG39" s="215">
        <v>0</v>
      </c>
      <c r="AH39" s="215">
        <v>0</v>
      </c>
      <c r="AI39" s="216">
        <v>0</v>
      </c>
      <c r="AJ39" s="215">
        <v>0</v>
      </c>
      <c r="AK39" s="215">
        <v>0</v>
      </c>
      <c r="AL39" s="215">
        <v>0</v>
      </c>
      <c r="AM39" s="215">
        <v>0</v>
      </c>
      <c r="AN39" s="215">
        <v>0</v>
      </c>
      <c r="AO39" s="215">
        <v>0</v>
      </c>
      <c r="AP39" s="215">
        <v>0</v>
      </c>
      <c r="AQ39" s="215">
        <v>0</v>
      </c>
      <c r="AR39" s="216">
        <v>0</v>
      </c>
      <c r="AS39" s="216">
        <v>0</v>
      </c>
      <c r="AT39" s="216">
        <v>0</v>
      </c>
      <c r="AU39" s="216">
        <v>0</v>
      </c>
      <c r="AV39" s="216">
        <v>0</v>
      </c>
      <c r="AW39" s="216">
        <v>0</v>
      </c>
      <c r="AX39" s="216">
        <v>0</v>
      </c>
      <c r="AY39" s="216">
        <v>0</v>
      </c>
      <c r="AZ39" s="216">
        <v>0</v>
      </c>
      <c r="BB39" s="216">
        <v>0</v>
      </c>
      <c r="BC39" s="215">
        <v>0</v>
      </c>
      <c r="BD39" s="215">
        <v>0</v>
      </c>
      <c r="BE39" s="215">
        <v>0</v>
      </c>
      <c r="BF39" s="215">
        <v>0</v>
      </c>
      <c r="BG39" s="215">
        <v>0</v>
      </c>
      <c r="BH39" s="215">
        <v>0</v>
      </c>
      <c r="BJ39" s="39">
        <f>SUM(B39:BH39)</f>
        <v>2388</v>
      </c>
      <c r="BK39" s="39"/>
      <c r="BL39" s="39">
        <f t="shared" si="1"/>
        <v>0</v>
      </c>
      <c r="BM39" s="39">
        <f t="shared" si="2"/>
        <v>2388</v>
      </c>
      <c r="BN39" s="216"/>
      <c r="BO39" s="209"/>
    </row>
    <row r="40" spans="1:67" ht="11.25" customHeight="1" outlineLevel="1">
      <c r="A40" s="214" t="s">
        <v>301</v>
      </c>
      <c r="B40" s="205">
        <v>203651</v>
      </c>
      <c r="C40" s="292">
        <v>69869</v>
      </c>
      <c r="D40" s="216">
        <v>24</v>
      </c>
      <c r="E40" s="205">
        <v>0</v>
      </c>
      <c r="F40" s="215">
        <v>0</v>
      </c>
      <c r="G40" s="215">
        <v>5410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6">
        <v>0</v>
      </c>
      <c r="N40" s="216">
        <v>0</v>
      </c>
      <c r="O40" s="216">
        <v>0</v>
      </c>
      <c r="P40" s="216">
        <v>0</v>
      </c>
      <c r="Q40" s="216">
        <v>0</v>
      </c>
      <c r="R40" s="215">
        <v>-4315</v>
      </c>
      <c r="S40" s="215">
        <v>2172</v>
      </c>
      <c r="T40" s="215">
        <v>9643</v>
      </c>
      <c r="U40" s="215">
        <v>0</v>
      </c>
      <c r="V40" s="216">
        <v>0</v>
      </c>
      <c r="W40" s="216">
        <v>0</v>
      </c>
      <c r="X40" s="215">
        <v>0</v>
      </c>
      <c r="Y40" s="215">
        <v>0</v>
      </c>
      <c r="Z40" s="291">
        <v>27754</v>
      </c>
      <c r="AA40" s="215">
        <v>1524</v>
      </c>
      <c r="AB40" s="215">
        <v>6963.752</v>
      </c>
      <c r="AC40" s="215">
        <v>0</v>
      </c>
      <c r="AD40" s="215">
        <v>2180</v>
      </c>
      <c r="AE40" s="215">
        <v>9670</v>
      </c>
      <c r="AF40" s="215">
        <v>94.691</v>
      </c>
      <c r="AG40" s="215">
        <v>0</v>
      </c>
      <c r="AH40" s="215">
        <v>0</v>
      </c>
      <c r="AI40" s="216">
        <v>0</v>
      </c>
      <c r="AJ40" s="215">
        <v>26734</v>
      </c>
      <c r="AK40" s="216">
        <v>0</v>
      </c>
      <c r="AL40" s="215">
        <v>0</v>
      </c>
      <c r="AM40" s="215">
        <v>0</v>
      </c>
      <c r="AN40" s="215">
        <v>0</v>
      </c>
      <c r="AO40" s="215">
        <v>381</v>
      </c>
      <c r="AP40" s="215">
        <v>0</v>
      </c>
      <c r="AQ40" s="215">
        <v>42</v>
      </c>
      <c r="AR40" s="216">
        <v>0</v>
      </c>
      <c r="AS40" s="216">
        <v>0</v>
      </c>
      <c r="AT40" s="216">
        <v>0</v>
      </c>
      <c r="AU40" s="216">
        <v>0</v>
      </c>
      <c r="AV40" s="216">
        <v>0</v>
      </c>
      <c r="AW40" s="216">
        <v>0</v>
      </c>
      <c r="AX40" s="216">
        <v>0</v>
      </c>
      <c r="AY40" s="216">
        <v>0</v>
      </c>
      <c r="AZ40" s="216">
        <v>0</v>
      </c>
      <c r="BA40" s="215">
        <v>29</v>
      </c>
      <c r="BB40" s="215">
        <v>0</v>
      </c>
      <c r="BC40" s="215">
        <v>0</v>
      </c>
      <c r="BD40" s="215">
        <v>0</v>
      </c>
      <c r="BE40" s="215">
        <v>0</v>
      </c>
      <c r="BF40" s="215">
        <v>0</v>
      </c>
      <c r="BG40" s="216">
        <v>2395</v>
      </c>
      <c r="BH40" s="216">
        <v>0</v>
      </c>
      <c r="BJ40" s="39">
        <f t="shared" si="0"/>
        <v>364221.44299999997</v>
      </c>
      <c r="BK40" s="39"/>
      <c r="BL40" s="39">
        <f t="shared" si="1"/>
        <v>233853</v>
      </c>
      <c r="BM40" s="39">
        <f t="shared" si="2"/>
        <v>130368.44300000001</v>
      </c>
      <c r="BN40" s="216"/>
      <c r="BO40" s="209"/>
    </row>
    <row r="41" spans="1:67" ht="11.25" customHeight="1">
      <c r="A41" s="212" t="s">
        <v>429</v>
      </c>
      <c r="B41" s="205">
        <f>SUM(B36:B40)</f>
        <v>291073</v>
      </c>
      <c r="C41" s="205">
        <f aca="true" t="shared" si="7" ref="C41:BH41">SUM(C36:C40)</f>
        <v>103052</v>
      </c>
      <c r="D41" s="205">
        <f t="shared" si="7"/>
        <v>198</v>
      </c>
      <c r="E41" s="205">
        <f t="shared" si="7"/>
        <v>0</v>
      </c>
      <c r="F41" s="205">
        <f t="shared" si="7"/>
        <v>131643</v>
      </c>
      <c r="G41" s="205">
        <f t="shared" si="7"/>
        <v>51975</v>
      </c>
      <c r="H41" s="205">
        <f t="shared" si="7"/>
        <v>29064</v>
      </c>
      <c r="I41" s="205">
        <f t="shared" si="7"/>
        <v>109371</v>
      </c>
      <c r="J41" s="205">
        <f t="shared" si="7"/>
        <v>2124</v>
      </c>
      <c r="K41" s="205">
        <f t="shared" si="7"/>
        <v>25124</v>
      </c>
      <c r="L41" s="205">
        <f t="shared" si="7"/>
        <v>24385</v>
      </c>
      <c r="M41" s="205">
        <f t="shared" si="7"/>
        <v>4315</v>
      </c>
      <c r="N41" s="205">
        <f t="shared" si="7"/>
        <v>7484</v>
      </c>
      <c r="O41" s="205">
        <f t="shared" si="7"/>
        <v>34024</v>
      </c>
      <c r="P41" s="205">
        <f t="shared" si="7"/>
        <v>5751</v>
      </c>
      <c r="Q41" s="205">
        <f t="shared" si="7"/>
        <v>1371</v>
      </c>
      <c r="R41" s="205">
        <f t="shared" si="7"/>
        <v>22303</v>
      </c>
      <c r="S41" s="205">
        <f t="shared" si="7"/>
        <v>2172</v>
      </c>
      <c r="T41" s="205">
        <f t="shared" si="7"/>
        <v>21917</v>
      </c>
      <c r="U41" s="205">
        <f t="shared" si="7"/>
        <v>6961</v>
      </c>
      <c r="V41" s="205">
        <f t="shared" si="7"/>
        <v>20966</v>
      </c>
      <c r="W41" s="205">
        <f t="shared" si="7"/>
        <v>402</v>
      </c>
      <c r="X41" s="205">
        <f t="shared" si="7"/>
        <v>22934</v>
      </c>
      <c r="Y41" s="205">
        <f t="shared" si="7"/>
        <v>22040</v>
      </c>
      <c r="Z41" s="205">
        <f t="shared" si="7"/>
        <v>39892</v>
      </c>
      <c r="AA41" s="205">
        <f t="shared" si="7"/>
        <v>13462</v>
      </c>
      <c r="AB41" s="205">
        <f t="shared" si="7"/>
        <v>16484.15</v>
      </c>
      <c r="AC41" s="205">
        <f t="shared" si="7"/>
        <v>925</v>
      </c>
      <c r="AD41" s="205">
        <f t="shared" si="7"/>
        <v>15249</v>
      </c>
      <c r="AE41" s="205">
        <f t="shared" si="7"/>
        <v>14249</v>
      </c>
      <c r="AF41" s="205">
        <f t="shared" si="7"/>
        <v>1544.955</v>
      </c>
      <c r="AG41" s="205">
        <f t="shared" si="7"/>
        <v>6196</v>
      </c>
      <c r="AH41" s="205">
        <f t="shared" si="7"/>
        <v>517</v>
      </c>
      <c r="AI41" s="205">
        <f t="shared" si="7"/>
        <v>1299</v>
      </c>
      <c r="AJ41" s="205">
        <f t="shared" si="7"/>
        <v>41788</v>
      </c>
      <c r="AK41" s="205">
        <f t="shared" si="7"/>
        <v>1024.9959999999999</v>
      </c>
      <c r="AL41" s="205">
        <f t="shared" si="7"/>
        <v>908</v>
      </c>
      <c r="AM41" s="205">
        <f t="shared" si="7"/>
        <v>3739</v>
      </c>
      <c r="AN41" s="205">
        <f t="shared" si="7"/>
        <v>339</v>
      </c>
      <c r="AO41" s="205">
        <f t="shared" si="7"/>
        <v>5618</v>
      </c>
      <c r="AP41" s="205">
        <f t="shared" si="7"/>
        <v>3186</v>
      </c>
      <c r="AQ41" s="205">
        <f t="shared" si="7"/>
        <v>2088</v>
      </c>
      <c r="AR41" s="205">
        <f t="shared" si="7"/>
        <v>2110</v>
      </c>
      <c r="AS41" s="205">
        <f t="shared" si="7"/>
        <v>19</v>
      </c>
      <c r="AT41" s="205">
        <f t="shared" si="7"/>
        <v>1977</v>
      </c>
      <c r="AU41" s="205">
        <f t="shared" si="7"/>
        <v>0</v>
      </c>
      <c r="AV41" s="205">
        <f t="shared" si="7"/>
        <v>850</v>
      </c>
      <c r="AW41" s="205">
        <f t="shared" si="7"/>
        <v>1149</v>
      </c>
      <c r="AX41" s="205">
        <f t="shared" si="7"/>
        <v>1457</v>
      </c>
      <c r="AY41" s="205">
        <f t="shared" si="7"/>
        <v>470</v>
      </c>
      <c r="AZ41" s="205">
        <f t="shared" si="7"/>
        <v>298</v>
      </c>
      <c r="BA41" s="205">
        <f t="shared" si="7"/>
        <v>858</v>
      </c>
      <c r="BB41" s="205">
        <f t="shared" si="7"/>
        <v>642</v>
      </c>
      <c r="BC41" s="205">
        <f t="shared" si="7"/>
        <v>143.632</v>
      </c>
      <c r="BD41" s="205">
        <f t="shared" si="7"/>
        <v>0</v>
      </c>
      <c r="BE41" s="205">
        <f t="shared" si="7"/>
        <v>1396</v>
      </c>
      <c r="BF41" s="205">
        <f t="shared" si="7"/>
        <v>0</v>
      </c>
      <c r="BG41" s="205">
        <f t="shared" si="7"/>
        <v>2395</v>
      </c>
      <c r="BH41" s="205">
        <f t="shared" si="7"/>
        <v>0</v>
      </c>
      <c r="BJ41" s="39">
        <f t="shared" si="0"/>
        <v>1122922.733</v>
      </c>
      <c r="BK41" s="39"/>
      <c r="BL41" s="39">
        <f t="shared" si="1"/>
        <v>344677</v>
      </c>
      <c r="BM41" s="39">
        <f t="shared" si="2"/>
        <v>778245.733</v>
      </c>
      <c r="BN41" s="216"/>
      <c r="BO41" s="209"/>
    </row>
    <row r="42" spans="1:67" ht="11.25" customHeight="1">
      <c r="A42" s="212"/>
      <c r="B42" s="216"/>
      <c r="C42" s="292"/>
      <c r="F42" s="218"/>
      <c r="G42" s="218"/>
      <c r="H42" s="218"/>
      <c r="I42" s="218"/>
      <c r="J42" s="218"/>
      <c r="K42" s="218"/>
      <c r="L42" s="218"/>
      <c r="M42" s="216"/>
      <c r="N42" s="218"/>
      <c r="R42" s="218"/>
      <c r="S42" s="218"/>
      <c r="T42" s="218"/>
      <c r="U42" s="217"/>
      <c r="X42" s="218"/>
      <c r="Y42" s="218"/>
      <c r="Z42" s="291"/>
      <c r="AA42" s="218"/>
      <c r="AB42" s="218"/>
      <c r="AC42" s="218"/>
      <c r="AD42" s="218"/>
      <c r="AE42" s="218"/>
      <c r="AF42" s="218"/>
      <c r="AG42" s="218"/>
      <c r="AH42" s="218"/>
      <c r="AJ42" s="218"/>
      <c r="AL42" s="217"/>
      <c r="AM42" s="218"/>
      <c r="AN42" s="218"/>
      <c r="AO42" s="218"/>
      <c r="AP42" s="218"/>
      <c r="AQ42" s="218"/>
      <c r="AR42" s="228"/>
      <c r="AS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J42" s="39"/>
      <c r="BK42" s="39"/>
      <c r="BL42" s="39"/>
      <c r="BM42" s="39"/>
      <c r="BN42" s="216"/>
      <c r="BO42" s="209"/>
    </row>
    <row r="43" spans="1:67" ht="11.25" customHeight="1" outlineLevel="1">
      <c r="A43" s="212" t="s">
        <v>303</v>
      </c>
      <c r="C43" s="292"/>
      <c r="F43" s="218"/>
      <c r="G43" s="218"/>
      <c r="H43" s="218"/>
      <c r="I43" s="218"/>
      <c r="J43" s="218"/>
      <c r="K43" s="218"/>
      <c r="L43" s="218"/>
      <c r="M43" s="216"/>
      <c r="N43" s="218"/>
      <c r="R43" s="218"/>
      <c r="S43" s="218"/>
      <c r="T43" s="218"/>
      <c r="U43" s="217"/>
      <c r="X43" s="218"/>
      <c r="Y43" s="218"/>
      <c r="Z43" s="291"/>
      <c r="AA43" s="218"/>
      <c r="AB43" s="218"/>
      <c r="AC43" s="218"/>
      <c r="AD43" s="218"/>
      <c r="AE43" s="218"/>
      <c r="AF43" s="218"/>
      <c r="AG43" s="218"/>
      <c r="AH43" s="218"/>
      <c r="AJ43" s="218"/>
      <c r="AL43" s="217"/>
      <c r="AM43" s="218"/>
      <c r="AN43" s="218"/>
      <c r="AO43" s="218"/>
      <c r="AP43" s="218"/>
      <c r="AQ43" s="218"/>
      <c r="AR43" s="228"/>
      <c r="AS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J43" s="39"/>
      <c r="BK43" s="39"/>
      <c r="BL43" s="39"/>
      <c r="BM43" s="39"/>
      <c r="BN43" s="216"/>
      <c r="BO43" s="209"/>
    </row>
    <row r="44" spans="1:67" ht="11.25" customHeight="1" outlineLevel="1">
      <c r="A44" s="214" t="s">
        <v>297</v>
      </c>
      <c r="B44" s="216">
        <v>136638</v>
      </c>
      <c r="C44" s="295">
        <v>33285</v>
      </c>
      <c r="D44" s="216">
        <v>3430</v>
      </c>
      <c r="E44" s="216">
        <v>881</v>
      </c>
      <c r="F44" s="215">
        <v>134140</v>
      </c>
      <c r="G44" s="215">
        <v>117208</v>
      </c>
      <c r="H44" s="215">
        <v>60093</v>
      </c>
      <c r="I44" s="215">
        <v>40376</v>
      </c>
      <c r="J44" s="215">
        <v>2124</v>
      </c>
      <c r="K44" s="215">
        <f>19580+1342</f>
        <v>20922</v>
      </c>
      <c r="L44" s="215">
        <v>49847</v>
      </c>
      <c r="M44" s="216">
        <v>8302</v>
      </c>
      <c r="N44" s="215">
        <v>3759</v>
      </c>
      <c r="O44" s="216">
        <v>36336</v>
      </c>
      <c r="P44" s="216">
        <v>27869</v>
      </c>
      <c r="Q44" s="216">
        <v>6643</v>
      </c>
      <c r="R44" s="215">
        <v>39505</v>
      </c>
      <c r="S44" s="215">
        <v>0</v>
      </c>
      <c r="T44" s="215">
        <v>11983</v>
      </c>
      <c r="U44" s="215">
        <v>14135</v>
      </c>
      <c r="V44" s="216">
        <v>39692</v>
      </c>
      <c r="W44" s="216">
        <v>784</v>
      </c>
      <c r="X44" s="215">
        <v>30082</v>
      </c>
      <c r="Y44" s="215">
        <v>34813</v>
      </c>
      <c r="Z44" s="291">
        <v>16713</v>
      </c>
      <c r="AA44" s="215">
        <v>21929</v>
      </c>
      <c r="AB44" s="215">
        <v>21449.049</v>
      </c>
      <c r="AC44" s="215">
        <v>32228</v>
      </c>
      <c r="AD44" s="215">
        <v>13783</v>
      </c>
      <c r="AE44" s="215">
        <v>6848</v>
      </c>
      <c r="AF44" s="215">
        <v>3518.731</v>
      </c>
      <c r="AG44" s="215">
        <v>35109</v>
      </c>
      <c r="AH44" s="215">
        <v>2927</v>
      </c>
      <c r="AI44" s="216">
        <v>1959</v>
      </c>
      <c r="AJ44" s="215">
        <v>18400</v>
      </c>
      <c r="AK44" s="216">
        <v>0</v>
      </c>
      <c r="AL44" s="215">
        <v>1341</v>
      </c>
      <c r="AM44" s="215">
        <v>7087</v>
      </c>
      <c r="AN44" s="215">
        <v>791</v>
      </c>
      <c r="AO44" s="215">
        <v>4325</v>
      </c>
      <c r="AP44" s="215">
        <v>4849</v>
      </c>
      <c r="AQ44" s="215">
        <v>989</v>
      </c>
      <c r="AR44" s="216">
        <v>4454</v>
      </c>
      <c r="AS44" s="215">
        <v>448</v>
      </c>
      <c r="AT44" s="216">
        <v>7907</v>
      </c>
      <c r="AU44" s="216">
        <v>3080.927</v>
      </c>
      <c r="AV44" s="215">
        <v>535</v>
      </c>
      <c r="AW44" s="215">
        <v>3706</v>
      </c>
      <c r="AX44" s="215">
        <v>86</v>
      </c>
      <c r="AY44" s="215">
        <v>896</v>
      </c>
      <c r="AZ44" s="215">
        <v>402</v>
      </c>
      <c r="BA44" s="215">
        <v>2486</v>
      </c>
      <c r="BB44" s="215">
        <v>965</v>
      </c>
      <c r="BC44" s="215">
        <v>239.386</v>
      </c>
      <c r="BD44" s="215">
        <v>2645</v>
      </c>
      <c r="BE44" s="215">
        <v>1396</v>
      </c>
      <c r="BF44" s="215">
        <v>573</v>
      </c>
      <c r="BG44" s="216">
        <v>248</v>
      </c>
      <c r="BH44" s="216">
        <v>243</v>
      </c>
      <c r="BJ44" s="39">
        <f t="shared" si="0"/>
        <v>1077403.0929999999</v>
      </c>
      <c r="BK44" s="39"/>
      <c r="BL44" s="39">
        <f t="shared" si="1"/>
        <v>215523</v>
      </c>
      <c r="BM44" s="39">
        <f t="shared" si="2"/>
        <v>861880.0930000001</v>
      </c>
      <c r="BN44" s="216"/>
      <c r="BO44" s="209"/>
    </row>
    <row r="45" spans="1:67" ht="11.25" customHeight="1" outlineLevel="1">
      <c r="A45" s="214" t="s">
        <v>304</v>
      </c>
      <c r="B45" s="205">
        <v>3750</v>
      </c>
      <c r="C45" s="295">
        <v>3750</v>
      </c>
      <c r="D45" s="216">
        <v>0</v>
      </c>
      <c r="E45" s="216">
        <v>0</v>
      </c>
      <c r="F45" s="215">
        <v>0</v>
      </c>
      <c r="G45" s="215">
        <v>0</v>
      </c>
      <c r="H45" s="215">
        <v>14961</v>
      </c>
      <c r="I45" s="215">
        <v>42540</v>
      </c>
      <c r="J45" s="215">
        <v>0</v>
      </c>
      <c r="K45" s="215">
        <v>28302</v>
      </c>
      <c r="L45" s="215">
        <v>0</v>
      </c>
      <c r="M45" s="215">
        <v>0</v>
      </c>
      <c r="N45" s="215">
        <v>0</v>
      </c>
      <c r="O45" s="216">
        <v>0</v>
      </c>
      <c r="P45" s="216">
        <v>0</v>
      </c>
      <c r="Q45" s="216">
        <v>0</v>
      </c>
      <c r="R45" s="215">
        <v>-15407</v>
      </c>
      <c r="S45" s="215">
        <v>10271</v>
      </c>
      <c r="T45" s="215"/>
      <c r="U45" s="215">
        <v>0</v>
      </c>
      <c r="V45" s="216"/>
      <c r="W45" s="216"/>
      <c r="X45" s="215"/>
      <c r="Y45" s="215"/>
      <c r="Z45" s="291">
        <v>833</v>
      </c>
      <c r="AA45" s="215"/>
      <c r="AB45" s="215">
        <v>3535.617</v>
      </c>
      <c r="AC45" s="215">
        <v>0</v>
      </c>
      <c r="AD45" s="215">
        <v>0</v>
      </c>
      <c r="AE45" s="215"/>
      <c r="AF45" s="215"/>
      <c r="AG45" s="215">
        <v>0</v>
      </c>
      <c r="AH45" s="215">
        <v>0</v>
      </c>
      <c r="AI45" s="216">
        <v>0</v>
      </c>
      <c r="AJ45" s="215">
        <v>0</v>
      </c>
      <c r="AK45" s="216">
        <v>1128.68</v>
      </c>
      <c r="AL45" s="215">
        <v>1061</v>
      </c>
      <c r="AM45" s="215">
        <v>0</v>
      </c>
      <c r="AN45" s="215">
        <v>0</v>
      </c>
      <c r="AO45" s="215">
        <v>0</v>
      </c>
      <c r="AP45" s="215">
        <v>0</v>
      </c>
      <c r="AQ45" s="215">
        <v>0</v>
      </c>
      <c r="AR45" s="216">
        <v>2405</v>
      </c>
      <c r="AS45" s="215">
        <v>0</v>
      </c>
      <c r="AT45" s="216"/>
      <c r="AU45" s="216"/>
      <c r="AV45" s="215">
        <v>1509</v>
      </c>
      <c r="AW45" s="215"/>
      <c r="AX45" s="215">
        <v>594</v>
      </c>
      <c r="AY45" s="215"/>
      <c r="AZ45" s="215">
        <v>1048</v>
      </c>
      <c r="BA45" s="215"/>
      <c r="BB45" s="215"/>
      <c r="BC45" s="215">
        <v>0</v>
      </c>
      <c r="BD45" s="215">
        <v>0</v>
      </c>
      <c r="BE45" s="215">
        <v>0</v>
      </c>
      <c r="BF45" s="215">
        <v>1771</v>
      </c>
      <c r="BG45" s="216">
        <v>361</v>
      </c>
      <c r="BH45" s="216">
        <v>0</v>
      </c>
      <c r="BJ45" s="39">
        <f t="shared" si="0"/>
        <v>102413.29699999999</v>
      </c>
      <c r="BK45" s="39"/>
      <c r="BL45" s="39">
        <f t="shared" si="1"/>
        <v>10775</v>
      </c>
      <c r="BM45" s="39">
        <f t="shared" si="2"/>
        <v>91638.29699999999</v>
      </c>
      <c r="BN45" s="216"/>
      <c r="BO45" s="209"/>
    </row>
    <row r="46" spans="1:67" ht="11.25" customHeight="1">
      <c r="A46" s="212" t="s">
        <v>303</v>
      </c>
      <c r="B46" s="205">
        <f>SUM(B44:B45)</f>
        <v>140388</v>
      </c>
      <c r="C46" s="205">
        <f aca="true" t="shared" si="8" ref="C46:BH46">SUM(C44:C45)</f>
        <v>37035</v>
      </c>
      <c r="D46" s="205">
        <f t="shared" si="8"/>
        <v>3430</v>
      </c>
      <c r="E46" s="205">
        <f t="shared" si="8"/>
        <v>881</v>
      </c>
      <c r="F46" s="205">
        <f t="shared" si="8"/>
        <v>134140</v>
      </c>
      <c r="G46" s="205">
        <f t="shared" si="8"/>
        <v>117208</v>
      </c>
      <c r="H46" s="205">
        <f t="shared" si="8"/>
        <v>75054</v>
      </c>
      <c r="I46" s="205">
        <f t="shared" si="8"/>
        <v>82916</v>
      </c>
      <c r="J46" s="205">
        <f t="shared" si="8"/>
        <v>2124</v>
      </c>
      <c r="K46" s="205">
        <f t="shared" si="8"/>
        <v>49224</v>
      </c>
      <c r="L46" s="205">
        <f t="shared" si="8"/>
        <v>49847</v>
      </c>
      <c r="M46" s="205">
        <f t="shared" si="8"/>
        <v>8302</v>
      </c>
      <c r="N46" s="205">
        <f t="shared" si="8"/>
        <v>3759</v>
      </c>
      <c r="O46" s="205">
        <f t="shared" si="8"/>
        <v>36336</v>
      </c>
      <c r="P46" s="205">
        <f t="shared" si="8"/>
        <v>27869</v>
      </c>
      <c r="Q46" s="205">
        <f t="shared" si="8"/>
        <v>6643</v>
      </c>
      <c r="R46" s="205">
        <f t="shared" si="8"/>
        <v>24098</v>
      </c>
      <c r="S46" s="205">
        <f t="shared" si="8"/>
        <v>10271</v>
      </c>
      <c r="T46" s="205">
        <f t="shared" si="8"/>
        <v>11983</v>
      </c>
      <c r="U46" s="205">
        <f t="shared" si="8"/>
        <v>14135</v>
      </c>
      <c r="V46" s="205">
        <f t="shared" si="8"/>
        <v>39692</v>
      </c>
      <c r="W46" s="205">
        <f t="shared" si="8"/>
        <v>784</v>
      </c>
      <c r="X46" s="205">
        <f t="shared" si="8"/>
        <v>30082</v>
      </c>
      <c r="Y46" s="205">
        <f t="shared" si="8"/>
        <v>34813</v>
      </c>
      <c r="Z46" s="205">
        <f t="shared" si="8"/>
        <v>17546</v>
      </c>
      <c r="AA46" s="205">
        <f t="shared" si="8"/>
        <v>21929</v>
      </c>
      <c r="AB46" s="205">
        <f t="shared" si="8"/>
        <v>24984.665999999997</v>
      </c>
      <c r="AC46" s="205">
        <f t="shared" si="8"/>
        <v>32228</v>
      </c>
      <c r="AD46" s="205">
        <f t="shared" si="8"/>
        <v>13783</v>
      </c>
      <c r="AE46" s="205">
        <f t="shared" si="8"/>
        <v>6848</v>
      </c>
      <c r="AF46" s="205">
        <f t="shared" si="8"/>
        <v>3518.731</v>
      </c>
      <c r="AG46" s="205">
        <f t="shared" si="8"/>
        <v>35109</v>
      </c>
      <c r="AH46" s="205">
        <f t="shared" si="8"/>
        <v>2927</v>
      </c>
      <c r="AI46" s="205">
        <f t="shared" si="8"/>
        <v>1959</v>
      </c>
      <c r="AJ46" s="205">
        <f t="shared" si="8"/>
        <v>18400</v>
      </c>
      <c r="AK46" s="205">
        <f t="shared" si="8"/>
        <v>1128.68</v>
      </c>
      <c r="AL46" s="205">
        <f t="shared" si="8"/>
        <v>2402</v>
      </c>
      <c r="AM46" s="205">
        <f t="shared" si="8"/>
        <v>7087</v>
      </c>
      <c r="AN46" s="205">
        <f t="shared" si="8"/>
        <v>791</v>
      </c>
      <c r="AO46" s="205">
        <f t="shared" si="8"/>
        <v>4325</v>
      </c>
      <c r="AP46" s="205">
        <f t="shared" si="8"/>
        <v>4849</v>
      </c>
      <c r="AQ46" s="205">
        <f t="shared" si="8"/>
        <v>989</v>
      </c>
      <c r="AR46" s="205">
        <f t="shared" si="8"/>
        <v>6859</v>
      </c>
      <c r="AS46" s="205">
        <f t="shared" si="8"/>
        <v>448</v>
      </c>
      <c r="AT46" s="205">
        <f t="shared" si="8"/>
        <v>7907</v>
      </c>
      <c r="AU46" s="205">
        <f t="shared" si="8"/>
        <v>3080.927</v>
      </c>
      <c r="AV46" s="205">
        <f t="shared" si="8"/>
        <v>2044</v>
      </c>
      <c r="AW46" s="205">
        <f t="shared" si="8"/>
        <v>3706</v>
      </c>
      <c r="AX46" s="205">
        <f t="shared" si="8"/>
        <v>680</v>
      </c>
      <c r="AY46" s="205">
        <f t="shared" si="8"/>
        <v>896</v>
      </c>
      <c r="AZ46" s="205">
        <f t="shared" si="8"/>
        <v>1450</v>
      </c>
      <c r="BA46" s="205">
        <f t="shared" si="8"/>
        <v>2486</v>
      </c>
      <c r="BB46" s="205">
        <f t="shared" si="8"/>
        <v>965</v>
      </c>
      <c r="BC46" s="205">
        <f t="shared" si="8"/>
        <v>239.386</v>
      </c>
      <c r="BD46" s="205">
        <f t="shared" si="8"/>
        <v>2645</v>
      </c>
      <c r="BE46" s="205">
        <f t="shared" si="8"/>
        <v>1396</v>
      </c>
      <c r="BF46" s="205">
        <f t="shared" si="8"/>
        <v>2344</v>
      </c>
      <c r="BG46" s="205">
        <f t="shared" si="8"/>
        <v>609</v>
      </c>
      <c r="BH46" s="205">
        <f t="shared" si="8"/>
        <v>243</v>
      </c>
      <c r="BJ46" s="39">
        <f t="shared" si="0"/>
        <v>1179816.3899999997</v>
      </c>
      <c r="BK46" s="39"/>
      <c r="BL46" s="39">
        <f t="shared" si="1"/>
        <v>226298</v>
      </c>
      <c r="BM46" s="39">
        <f t="shared" si="2"/>
        <v>953518.3900000001</v>
      </c>
      <c r="BN46" s="216"/>
      <c r="BO46" s="209"/>
    </row>
    <row r="47" spans="1:67" ht="11.25" customHeight="1">
      <c r="A47" s="214"/>
      <c r="C47" s="296"/>
      <c r="F47" s="218"/>
      <c r="G47" s="218"/>
      <c r="H47" s="218"/>
      <c r="I47" s="218"/>
      <c r="J47" s="218"/>
      <c r="K47" s="218"/>
      <c r="L47" s="218"/>
      <c r="M47" s="216"/>
      <c r="N47" s="218"/>
      <c r="R47" s="218"/>
      <c r="S47" s="218"/>
      <c r="T47" s="218"/>
      <c r="U47" s="217"/>
      <c r="X47" s="218"/>
      <c r="Y47" s="218"/>
      <c r="Z47" s="291"/>
      <c r="AA47" s="218"/>
      <c r="AB47" s="218"/>
      <c r="AC47" s="218"/>
      <c r="AD47" s="218"/>
      <c r="AE47" s="218"/>
      <c r="AF47" s="218"/>
      <c r="AG47" s="218"/>
      <c r="AH47" s="218"/>
      <c r="AJ47" s="218"/>
      <c r="AL47" s="217"/>
      <c r="AM47" s="218"/>
      <c r="AN47" s="218"/>
      <c r="AO47" s="218"/>
      <c r="AP47" s="218"/>
      <c r="AQ47" s="218"/>
      <c r="AR47" s="228"/>
      <c r="AS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J47" s="39"/>
      <c r="BK47" s="39"/>
      <c r="BL47" s="39"/>
      <c r="BM47" s="39"/>
      <c r="BN47" s="216"/>
      <c r="BO47" s="209"/>
    </row>
    <row r="48" spans="1:67" ht="11.25" customHeight="1">
      <c r="A48" s="212" t="s">
        <v>306</v>
      </c>
      <c r="B48" s="39">
        <v>0</v>
      </c>
      <c r="C48" s="39">
        <v>0</v>
      </c>
      <c r="D48" s="39">
        <v>0</v>
      </c>
      <c r="E48" s="39">
        <v>0</v>
      </c>
      <c r="F48" s="39">
        <v>46918</v>
      </c>
      <c r="G48" s="39">
        <v>22262</v>
      </c>
      <c r="H48" s="39">
        <v>0</v>
      </c>
      <c r="I48" s="39">
        <v>39</v>
      </c>
      <c r="J48" s="39">
        <v>0</v>
      </c>
      <c r="K48" s="39">
        <v>0</v>
      </c>
      <c r="L48" s="39">
        <v>0</v>
      </c>
      <c r="M48" s="216">
        <v>0</v>
      </c>
      <c r="N48" s="216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215">
        <v>2866</v>
      </c>
      <c r="Y48" s="39">
        <v>4817</v>
      </c>
      <c r="Z48" s="291">
        <v>0</v>
      </c>
      <c r="AA48" s="39">
        <v>0</v>
      </c>
      <c r="AB48" s="39">
        <v>0</v>
      </c>
      <c r="AC48" s="39">
        <v>0</v>
      </c>
      <c r="AD48" s="39">
        <v>36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653</v>
      </c>
      <c r="AP48" s="39">
        <v>0</v>
      </c>
      <c r="AQ48" s="39">
        <v>0</v>
      </c>
      <c r="AR48" s="39">
        <v>8970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J48" s="39">
        <f t="shared" si="0"/>
        <v>86561</v>
      </c>
      <c r="BK48" s="39"/>
      <c r="BL48" s="39">
        <f t="shared" si="1"/>
        <v>8970</v>
      </c>
      <c r="BM48" s="39">
        <f t="shared" si="2"/>
        <v>77591</v>
      </c>
      <c r="BN48" s="216"/>
      <c r="BO48" s="209"/>
    </row>
    <row r="49" spans="1:67" ht="8.25" customHeight="1">
      <c r="A49" s="214"/>
      <c r="F49" s="218"/>
      <c r="G49" s="218"/>
      <c r="H49" s="218"/>
      <c r="I49" s="218"/>
      <c r="J49" s="218"/>
      <c r="K49" s="218"/>
      <c r="L49" s="218"/>
      <c r="M49" s="216"/>
      <c r="N49" s="218"/>
      <c r="R49" s="218"/>
      <c r="S49" s="218"/>
      <c r="T49" s="218"/>
      <c r="U49" s="217"/>
      <c r="X49" s="218"/>
      <c r="Y49" s="218"/>
      <c r="Z49" s="291"/>
      <c r="AA49" s="218"/>
      <c r="AB49" s="218"/>
      <c r="AC49" s="218"/>
      <c r="AD49" s="218"/>
      <c r="AE49" s="218"/>
      <c r="AF49" s="218"/>
      <c r="AG49" s="218"/>
      <c r="AH49" s="218"/>
      <c r="AJ49" s="218"/>
      <c r="AL49" s="217"/>
      <c r="AM49" s="218"/>
      <c r="AN49" s="218"/>
      <c r="AO49" s="218"/>
      <c r="AP49" s="218"/>
      <c r="AQ49" s="218"/>
      <c r="AR49" s="22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J49" s="39"/>
      <c r="BK49" s="39"/>
      <c r="BL49" s="39"/>
      <c r="BM49" s="39"/>
      <c r="BN49" s="216"/>
      <c r="BO49" s="209"/>
    </row>
    <row r="50" spans="1:67" ht="11.25" customHeight="1" outlineLevel="1">
      <c r="A50" s="212" t="s">
        <v>307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216">
        <v>0</v>
      </c>
      <c r="N50" s="216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291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J50" s="39">
        <f t="shared" si="0"/>
        <v>0</v>
      </c>
      <c r="BK50" s="39"/>
      <c r="BL50" s="39">
        <f>+B50+D50+E50+Z50+AC50+AL50+AN50+AR50+AT50+AW50+AX50+BA50+BD50+BE50+BF50+BG50</f>
        <v>0</v>
      </c>
      <c r="BM50" s="39">
        <f>+C50+F50+G50+H50+I50+J50+K50+L50+M50+N50+O50+P50+Q50+R50+S50+T50+U50+V50+W50+X50+Y50+AA50+AB50+AD50+AE50+AF50+AG50+AH50+AI50+AJ50+AK50+AM50+AO50+AP50+AQ50+AS50+AU50+AV50+AY50+AZ50+BB50+BC50+BH50</f>
        <v>0</v>
      </c>
      <c r="BN50" s="216"/>
      <c r="BO50" s="209"/>
    </row>
    <row r="51" spans="1:67" ht="11.25" customHeight="1" outlineLevel="1">
      <c r="A51" s="214"/>
      <c r="F51" s="218"/>
      <c r="G51" s="218"/>
      <c r="H51" s="218"/>
      <c r="I51" s="218"/>
      <c r="J51" s="218"/>
      <c r="K51" s="218"/>
      <c r="L51" s="218"/>
      <c r="M51" s="216"/>
      <c r="N51" s="218"/>
      <c r="R51" s="218"/>
      <c r="S51" s="218"/>
      <c r="T51" s="218"/>
      <c r="U51" s="217"/>
      <c r="X51" s="218"/>
      <c r="Y51" s="218"/>
      <c r="Z51" s="291"/>
      <c r="AA51" s="218"/>
      <c r="AB51" s="218"/>
      <c r="AC51" s="218"/>
      <c r="AD51" s="218"/>
      <c r="AE51" s="218"/>
      <c r="AF51" s="218"/>
      <c r="AG51" s="218"/>
      <c r="AH51" s="218"/>
      <c r="AJ51" s="218"/>
      <c r="AL51" s="217"/>
      <c r="AM51" s="218"/>
      <c r="AN51" s="218"/>
      <c r="AO51" s="218"/>
      <c r="AP51" s="218"/>
      <c r="AQ51" s="218"/>
      <c r="AR51" s="228"/>
      <c r="AS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J51" s="39"/>
      <c r="BK51" s="39"/>
      <c r="BL51" s="39"/>
      <c r="BM51" s="39"/>
      <c r="BN51" s="216"/>
      <c r="BO51" s="209"/>
    </row>
    <row r="52" spans="1:67" ht="11.25" customHeight="1">
      <c r="A52" s="212" t="s">
        <v>308</v>
      </c>
      <c r="F52" s="218"/>
      <c r="G52" s="218"/>
      <c r="H52" s="218"/>
      <c r="I52" s="218"/>
      <c r="J52" s="218"/>
      <c r="K52" s="218"/>
      <c r="L52" s="218"/>
      <c r="M52" s="216"/>
      <c r="N52" s="218"/>
      <c r="R52" s="218"/>
      <c r="S52" s="218"/>
      <c r="T52" s="218"/>
      <c r="U52" s="217"/>
      <c r="X52" s="218"/>
      <c r="Y52" s="218"/>
      <c r="Z52" s="291"/>
      <c r="AA52" s="218"/>
      <c r="AB52" s="218"/>
      <c r="AC52" s="218"/>
      <c r="AD52" s="218"/>
      <c r="AE52" s="218"/>
      <c r="AF52" s="218"/>
      <c r="AG52" s="218"/>
      <c r="AH52" s="218"/>
      <c r="AJ52" s="218"/>
      <c r="AL52" s="217"/>
      <c r="AM52" s="218"/>
      <c r="AN52" s="218"/>
      <c r="AO52" s="218"/>
      <c r="AP52" s="218"/>
      <c r="AQ52" s="218"/>
      <c r="AR52" s="228"/>
      <c r="AS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J52" s="39"/>
      <c r="BK52" s="39"/>
      <c r="BL52" s="39"/>
      <c r="BM52" s="39"/>
      <c r="BN52" s="216"/>
      <c r="BO52" s="209"/>
    </row>
    <row r="53" spans="1:67" ht="11.25" customHeight="1">
      <c r="A53" s="212" t="s">
        <v>309</v>
      </c>
      <c r="B53" s="39">
        <f>+B14-B21+B33-B41-B46+B48-B50</f>
        <v>18143443</v>
      </c>
      <c r="C53" s="39">
        <f aca="true" t="shared" si="9" ref="C53:BH53">+C14-C21+C33-C41-C46+C48-C50</f>
        <v>11050977.6</v>
      </c>
      <c r="D53" s="39">
        <f t="shared" si="9"/>
        <v>64577</v>
      </c>
      <c r="E53" s="39">
        <f t="shared" si="9"/>
        <v>9642</v>
      </c>
      <c r="F53" s="39">
        <f t="shared" si="9"/>
        <v>20846235</v>
      </c>
      <c r="G53" s="39">
        <f t="shared" si="9"/>
        <v>10071836</v>
      </c>
      <c r="H53" s="39">
        <f t="shared" si="9"/>
        <v>9122687</v>
      </c>
      <c r="I53" s="39">
        <f t="shared" si="9"/>
        <v>5399414</v>
      </c>
      <c r="J53" s="39">
        <f t="shared" si="9"/>
        <v>361200</v>
      </c>
      <c r="K53" s="39">
        <f t="shared" si="9"/>
        <v>3761579</v>
      </c>
      <c r="L53" s="39">
        <f t="shared" si="9"/>
        <v>4334744</v>
      </c>
      <c r="M53" s="39">
        <f t="shared" si="9"/>
        <v>1715338</v>
      </c>
      <c r="N53" s="39">
        <f t="shared" si="9"/>
        <v>1234713</v>
      </c>
      <c r="O53" s="39">
        <f t="shared" si="9"/>
        <v>3674463</v>
      </c>
      <c r="P53" s="39">
        <f t="shared" si="9"/>
        <v>1715609</v>
      </c>
      <c r="Q53" s="39">
        <f t="shared" si="9"/>
        <v>965085</v>
      </c>
      <c r="R53" s="39">
        <f t="shared" si="9"/>
        <v>1945374</v>
      </c>
      <c r="S53" s="39">
        <f t="shared" si="9"/>
        <v>502442</v>
      </c>
      <c r="T53" s="39">
        <f t="shared" si="9"/>
        <v>2410177</v>
      </c>
      <c r="U53" s="39">
        <f t="shared" si="9"/>
        <v>2554373</v>
      </c>
      <c r="V53" s="39">
        <f t="shared" si="9"/>
        <v>2212988</v>
      </c>
      <c r="W53" s="39">
        <f t="shared" si="9"/>
        <v>24240</v>
      </c>
      <c r="X53" s="39">
        <f t="shared" si="9"/>
        <v>2536013</v>
      </c>
      <c r="Y53" s="39">
        <f t="shared" si="9"/>
        <v>1946755</v>
      </c>
      <c r="Z53" s="39">
        <f t="shared" si="9"/>
        <v>2441609</v>
      </c>
      <c r="AA53" s="39">
        <f t="shared" si="9"/>
        <v>1532896</v>
      </c>
      <c r="AB53" s="39">
        <f t="shared" si="9"/>
        <v>1308766.7500000002</v>
      </c>
      <c r="AC53" s="39">
        <f t="shared" si="9"/>
        <v>6494555</v>
      </c>
      <c r="AD53" s="39">
        <f t="shared" si="9"/>
        <v>1298625</v>
      </c>
      <c r="AE53" s="39">
        <f t="shared" si="9"/>
        <v>1206577</v>
      </c>
      <c r="AF53" s="39">
        <f t="shared" si="9"/>
        <v>274824.15099999995</v>
      </c>
      <c r="AG53" s="39">
        <f t="shared" si="9"/>
        <v>2530134</v>
      </c>
      <c r="AH53" s="39">
        <f t="shared" si="9"/>
        <v>184302</v>
      </c>
      <c r="AI53" s="39">
        <f t="shared" si="9"/>
        <v>790356</v>
      </c>
      <c r="AJ53" s="39">
        <f t="shared" si="9"/>
        <v>948484</v>
      </c>
      <c r="AK53" s="39">
        <f t="shared" si="9"/>
        <v>172714.02</v>
      </c>
      <c r="AL53" s="39">
        <f t="shared" si="9"/>
        <v>536399</v>
      </c>
      <c r="AM53" s="39">
        <f t="shared" si="9"/>
        <v>119429</v>
      </c>
      <c r="AN53" s="39">
        <f t="shared" si="9"/>
        <v>-17498</v>
      </c>
      <c r="AO53" s="39">
        <f t="shared" si="9"/>
        <v>288254</v>
      </c>
      <c r="AP53" s="39">
        <f t="shared" si="9"/>
        <v>275924</v>
      </c>
      <c r="AQ53" s="39">
        <f t="shared" si="9"/>
        <v>142076</v>
      </c>
      <c r="AR53" s="39">
        <f t="shared" si="9"/>
        <v>193430</v>
      </c>
      <c r="AS53" s="39">
        <f t="shared" si="9"/>
        <v>47844</v>
      </c>
      <c r="AT53" s="39">
        <f t="shared" si="9"/>
        <v>167351</v>
      </c>
      <c r="AU53" s="39">
        <f t="shared" si="9"/>
        <v>72380.43000000001</v>
      </c>
      <c r="AV53" s="39">
        <f t="shared" si="9"/>
        <v>117890</v>
      </c>
      <c r="AW53" s="39">
        <f t="shared" si="9"/>
        <v>79895</v>
      </c>
      <c r="AX53" s="39">
        <f t="shared" si="9"/>
        <v>89599</v>
      </c>
      <c r="AY53" s="39">
        <f t="shared" si="9"/>
        <v>34837</v>
      </c>
      <c r="AZ53" s="39">
        <f t="shared" si="9"/>
        <v>15088</v>
      </c>
      <c r="BA53" s="39">
        <f t="shared" si="9"/>
        <v>57375</v>
      </c>
      <c r="BB53" s="39">
        <f t="shared" si="9"/>
        <v>16958</v>
      </c>
      <c r="BC53" s="39">
        <f t="shared" si="9"/>
        <v>6379.3630000000085</v>
      </c>
      <c r="BD53" s="39">
        <f t="shared" si="9"/>
        <v>22745</v>
      </c>
      <c r="BE53" s="39">
        <f t="shared" si="9"/>
        <v>8974</v>
      </c>
      <c r="BF53" s="39">
        <f t="shared" si="9"/>
        <v>-6393</v>
      </c>
      <c r="BG53" s="39">
        <f t="shared" si="9"/>
        <v>-25934</v>
      </c>
      <c r="BH53" s="39">
        <f t="shared" si="9"/>
        <v>-517</v>
      </c>
      <c r="BJ53" s="39">
        <f t="shared" si="0"/>
        <v>128030233.314</v>
      </c>
      <c r="BK53" s="39"/>
      <c r="BL53" s="39">
        <f t="shared" si="1"/>
        <v>28259769</v>
      </c>
      <c r="BM53" s="39">
        <f t="shared" si="2"/>
        <v>99770464.314</v>
      </c>
      <c r="BN53" s="216"/>
      <c r="BO53" s="209"/>
    </row>
    <row r="54" spans="1:67" ht="11.25" customHeight="1">
      <c r="A54" s="214"/>
      <c r="BJ54" s="39"/>
      <c r="BK54" s="39"/>
      <c r="BL54" s="39"/>
      <c r="BM54" s="39"/>
      <c r="BN54" s="216"/>
      <c r="BO54" s="209"/>
    </row>
    <row r="55" spans="1:67" ht="11.25" customHeight="1" outlineLevel="1">
      <c r="A55" s="212" t="s">
        <v>310</v>
      </c>
      <c r="B55" s="205">
        <f>+B56-B57</f>
        <v>0</v>
      </c>
      <c r="C55" s="205">
        <f aca="true" t="shared" si="10" ref="C55:BH55">+C56-C57</f>
        <v>0</v>
      </c>
      <c r="D55" s="205">
        <f t="shared" si="10"/>
        <v>0</v>
      </c>
      <c r="E55" s="205">
        <f t="shared" si="10"/>
        <v>0</v>
      </c>
      <c r="F55" s="205">
        <f t="shared" si="10"/>
        <v>0</v>
      </c>
      <c r="G55" s="205">
        <f t="shared" si="10"/>
        <v>0</v>
      </c>
      <c r="H55" s="205">
        <f t="shared" si="10"/>
        <v>0</v>
      </c>
      <c r="I55" s="205">
        <f t="shared" si="10"/>
        <v>0</v>
      </c>
      <c r="J55" s="205">
        <f t="shared" si="10"/>
        <v>0</v>
      </c>
      <c r="K55" s="205">
        <f t="shared" si="10"/>
        <v>0</v>
      </c>
      <c r="L55" s="205">
        <f t="shared" si="10"/>
        <v>0</v>
      </c>
      <c r="M55" s="205">
        <f t="shared" si="10"/>
        <v>0</v>
      </c>
      <c r="N55" s="205">
        <f>+N56-N57</f>
        <v>0</v>
      </c>
      <c r="O55" s="205">
        <f t="shared" si="10"/>
        <v>0</v>
      </c>
      <c r="P55" s="205">
        <f t="shared" si="10"/>
        <v>0</v>
      </c>
      <c r="Q55" s="205">
        <f t="shared" si="10"/>
        <v>0</v>
      </c>
      <c r="R55" s="205">
        <f t="shared" si="10"/>
        <v>0</v>
      </c>
      <c r="S55" s="205">
        <f t="shared" si="10"/>
        <v>0</v>
      </c>
      <c r="T55" s="205">
        <f t="shared" si="10"/>
        <v>0</v>
      </c>
      <c r="U55" s="205">
        <f t="shared" si="10"/>
        <v>0</v>
      </c>
      <c r="V55" s="205">
        <f t="shared" si="10"/>
        <v>0</v>
      </c>
      <c r="W55" s="205">
        <f t="shared" si="10"/>
        <v>0</v>
      </c>
      <c r="X55" s="205">
        <f t="shared" si="10"/>
        <v>0</v>
      </c>
      <c r="Y55" s="205">
        <f t="shared" si="10"/>
        <v>0</v>
      </c>
      <c r="Z55" s="205">
        <f t="shared" si="10"/>
        <v>0</v>
      </c>
      <c r="AA55" s="205">
        <f t="shared" si="10"/>
        <v>0</v>
      </c>
      <c r="AB55" s="205">
        <f t="shared" si="10"/>
        <v>0</v>
      </c>
      <c r="AC55" s="205">
        <f t="shared" si="10"/>
        <v>0</v>
      </c>
      <c r="AD55" s="205">
        <f t="shared" si="10"/>
        <v>0</v>
      </c>
      <c r="AE55" s="205">
        <f t="shared" si="10"/>
        <v>0</v>
      </c>
      <c r="AF55" s="205">
        <f t="shared" si="10"/>
        <v>0</v>
      </c>
      <c r="AG55" s="205">
        <f t="shared" si="10"/>
        <v>0</v>
      </c>
      <c r="AH55" s="205">
        <f t="shared" si="10"/>
        <v>0</v>
      </c>
      <c r="AI55" s="39">
        <f>+AI56-AI57</f>
        <v>0</v>
      </c>
      <c r="AJ55" s="205">
        <f t="shared" si="10"/>
        <v>0</v>
      </c>
      <c r="AK55" s="205">
        <f t="shared" si="10"/>
        <v>0</v>
      </c>
      <c r="AL55" s="205">
        <f t="shared" si="10"/>
        <v>0</v>
      </c>
      <c r="AM55" s="205">
        <f t="shared" si="10"/>
        <v>0</v>
      </c>
      <c r="AN55" s="205">
        <f t="shared" si="10"/>
        <v>0</v>
      </c>
      <c r="AO55" s="205">
        <f t="shared" si="10"/>
        <v>0</v>
      </c>
      <c r="AP55" s="205">
        <f t="shared" si="10"/>
        <v>0</v>
      </c>
      <c r="AQ55" s="205">
        <f t="shared" si="10"/>
        <v>0</v>
      </c>
      <c r="AR55" s="205">
        <f t="shared" si="10"/>
        <v>0</v>
      </c>
      <c r="AS55" s="205">
        <f t="shared" si="10"/>
        <v>0</v>
      </c>
      <c r="AT55" s="205">
        <f t="shared" si="10"/>
        <v>0</v>
      </c>
      <c r="AU55" s="205">
        <f t="shared" si="10"/>
        <v>0</v>
      </c>
      <c r="AV55" s="205">
        <f t="shared" si="10"/>
        <v>0</v>
      </c>
      <c r="AW55" s="205">
        <f t="shared" si="10"/>
        <v>0</v>
      </c>
      <c r="AX55" s="205">
        <f t="shared" si="10"/>
        <v>0</v>
      </c>
      <c r="AY55" s="205">
        <f t="shared" si="10"/>
        <v>0</v>
      </c>
      <c r="AZ55" s="205">
        <f t="shared" si="10"/>
        <v>0</v>
      </c>
      <c r="BA55" s="205">
        <f t="shared" si="10"/>
        <v>0</v>
      </c>
      <c r="BB55" s="205">
        <f t="shared" si="10"/>
        <v>0</v>
      </c>
      <c r="BC55" s="205">
        <f t="shared" si="10"/>
        <v>0</v>
      </c>
      <c r="BD55" s="205">
        <f t="shared" si="10"/>
        <v>0</v>
      </c>
      <c r="BE55" s="205">
        <f t="shared" si="10"/>
        <v>0</v>
      </c>
      <c r="BF55" s="205">
        <f t="shared" si="10"/>
        <v>0</v>
      </c>
      <c r="BG55" s="205">
        <f t="shared" si="10"/>
        <v>0</v>
      </c>
      <c r="BH55" s="205">
        <f t="shared" si="10"/>
        <v>0</v>
      </c>
      <c r="BJ55" s="39">
        <f t="shared" si="0"/>
        <v>0</v>
      </c>
      <c r="BK55" s="39"/>
      <c r="BL55" s="39">
        <f t="shared" si="1"/>
        <v>0</v>
      </c>
      <c r="BM55" s="39">
        <f t="shared" si="2"/>
        <v>0</v>
      </c>
      <c r="BN55" s="216"/>
      <c r="BO55" s="209"/>
    </row>
    <row r="56" spans="1:67" ht="11.25" customHeight="1" outlineLevel="1">
      <c r="A56" s="214" t="s">
        <v>311</v>
      </c>
      <c r="B56" s="205">
        <v>0</v>
      </c>
      <c r="C56" s="205">
        <v>0</v>
      </c>
      <c r="D56" s="205">
        <v>0</v>
      </c>
      <c r="E56" s="205">
        <v>0</v>
      </c>
      <c r="F56" s="205">
        <v>0</v>
      </c>
      <c r="G56" s="205">
        <v>0</v>
      </c>
      <c r="H56" s="205">
        <v>0</v>
      </c>
      <c r="I56" s="205">
        <v>0</v>
      </c>
      <c r="J56" s="205">
        <v>0</v>
      </c>
      <c r="K56" s="205">
        <v>0</v>
      </c>
      <c r="L56" s="205">
        <v>0</v>
      </c>
      <c r="M56" s="216">
        <v>0</v>
      </c>
      <c r="N56" s="216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291"/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J56" s="39">
        <f t="shared" si="0"/>
        <v>0</v>
      </c>
      <c r="BK56" s="39"/>
      <c r="BL56" s="39">
        <f t="shared" si="1"/>
        <v>0</v>
      </c>
      <c r="BM56" s="39">
        <f t="shared" si="2"/>
        <v>0</v>
      </c>
      <c r="BN56" s="216"/>
      <c r="BO56" s="209"/>
    </row>
    <row r="57" spans="1:67" ht="11.25" customHeight="1" outlineLevel="1">
      <c r="A57" s="214" t="s">
        <v>312</v>
      </c>
      <c r="B57" s="205">
        <v>0</v>
      </c>
      <c r="C57" s="205">
        <v>0</v>
      </c>
      <c r="D57" s="205">
        <v>0</v>
      </c>
      <c r="E57" s="205">
        <v>0</v>
      </c>
      <c r="F57" s="205">
        <v>0</v>
      </c>
      <c r="G57" s="205">
        <v>0</v>
      </c>
      <c r="H57" s="205">
        <v>0</v>
      </c>
      <c r="I57" s="205">
        <v>0</v>
      </c>
      <c r="J57" s="205">
        <v>0</v>
      </c>
      <c r="K57" s="205">
        <v>0</v>
      </c>
      <c r="L57" s="205">
        <v>0</v>
      </c>
      <c r="M57" s="216">
        <v>0</v>
      </c>
      <c r="N57" s="216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291"/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39">
        <v>0</v>
      </c>
      <c r="BE57" s="39">
        <v>0</v>
      </c>
      <c r="BF57" s="39">
        <v>0</v>
      </c>
      <c r="BG57" s="39">
        <v>0</v>
      </c>
      <c r="BH57" s="39">
        <v>0</v>
      </c>
      <c r="BJ57" s="39">
        <f t="shared" si="0"/>
        <v>0</v>
      </c>
      <c r="BK57" s="39"/>
      <c r="BL57" s="39">
        <f t="shared" si="1"/>
        <v>0</v>
      </c>
      <c r="BM57" s="39">
        <f t="shared" si="2"/>
        <v>0</v>
      </c>
      <c r="BN57" s="216"/>
      <c r="BO57" s="209"/>
    </row>
    <row r="58" spans="1:67" ht="11.25" customHeight="1" outlineLevel="1">
      <c r="A58" s="212"/>
      <c r="F58" s="218"/>
      <c r="G58" s="218"/>
      <c r="H58" s="218"/>
      <c r="I58" s="218"/>
      <c r="J58" s="218"/>
      <c r="K58" s="218"/>
      <c r="L58" s="218"/>
      <c r="M58" s="216"/>
      <c r="N58" s="218"/>
      <c r="R58" s="218"/>
      <c r="S58" s="218"/>
      <c r="T58" s="218"/>
      <c r="U58" s="217"/>
      <c r="X58" s="218"/>
      <c r="Y58" s="218"/>
      <c r="Z58" s="291"/>
      <c r="AA58" s="218"/>
      <c r="AB58" s="218"/>
      <c r="AC58" s="218"/>
      <c r="AD58" s="218"/>
      <c r="AE58" s="218"/>
      <c r="AF58" s="218"/>
      <c r="AG58" s="218"/>
      <c r="AH58" s="218"/>
      <c r="AJ58" s="218"/>
      <c r="AL58" s="217"/>
      <c r="AM58" s="218"/>
      <c r="AN58" s="218"/>
      <c r="AO58" s="218"/>
      <c r="AP58" s="218"/>
      <c r="AQ58" s="218"/>
      <c r="AR58" s="228"/>
      <c r="AS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J58" s="39"/>
      <c r="BK58" s="39"/>
      <c r="BL58" s="39">
        <f t="shared" si="1"/>
        <v>0</v>
      </c>
      <c r="BM58" s="39">
        <f t="shared" si="2"/>
        <v>0</v>
      </c>
      <c r="BN58" s="216"/>
      <c r="BO58" s="209"/>
    </row>
    <row r="59" spans="1:67" ht="11.25" customHeight="1" outlineLevel="1">
      <c r="A59" s="212" t="s">
        <v>313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216">
        <v>0</v>
      </c>
      <c r="N59" s="216">
        <v>0</v>
      </c>
      <c r="O59" s="205">
        <v>0</v>
      </c>
      <c r="P59" s="205">
        <v>0</v>
      </c>
      <c r="Q59" s="205">
        <v>0</v>
      </c>
      <c r="R59" s="205">
        <v>0</v>
      </c>
      <c r="S59" s="205">
        <v>0</v>
      </c>
      <c r="T59" s="205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</v>
      </c>
      <c r="BE59" s="39">
        <v>0</v>
      </c>
      <c r="BF59" s="39">
        <v>0</v>
      </c>
      <c r="BG59" s="39">
        <v>0</v>
      </c>
      <c r="BH59" s="39">
        <v>0</v>
      </c>
      <c r="BJ59" s="39">
        <f t="shared" si="0"/>
        <v>0</v>
      </c>
      <c r="BK59" s="39"/>
      <c r="BL59" s="39">
        <f t="shared" si="1"/>
        <v>0</v>
      </c>
      <c r="BM59" s="39">
        <f t="shared" si="2"/>
        <v>0</v>
      </c>
      <c r="BN59" s="216"/>
      <c r="BO59" s="209"/>
    </row>
    <row r="60" spans="1:67" ht="11.25" customHeight="1" outlineLevel="1">
      <c r="A60" s="212"/>
      <c r="F60" s="218"/>
      <c r="G60" s="218"/>
      <c r="H60" s="218"/>
      <c r="I60" s="218"/>
      <c r="J60" s="218"/>
      <c r="K60" s="218"/>
      <c r="L60" s="218"/>
      <c r="M60" s="216"/>
      <c r="N60" s="218"/>
      <c r="R60" s="218"/>
      <c r="S60" s="218"/>
      <c r="T60" s="218"/>
      <c r="U60" s="217"/>
      <c r="X60" s="218"/>
      <c r="Y60" s="218"/>
      <c r="Z60" s="291"/>
      <c r="AA60" s="218"/>
      <c r="AB60" s="218"/>
      <c r="AC60" s="218"/>
      <c r="AD60" s="218"/>
      <c r="AE60" s="218"/>
      <c r="AF60" s="218"/>
      <c r="AG60" s="218"/>
      <c r="AH60" s="218"/>
      <c r="AJ60" s="218"/>
      <c r="AL60" s="217"/>
      <c r="AM60" s="218"/>
      <c r="AN60" s="218"/>
      <c r="AO60" s="218"/>
      <c r="AP60" s="218"/>
      <c r="AQ60" s="218"/>
      <c r="AR60" s="228"/>
      <c r="AS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J60" s="39"/>
      <c r="BK60" s="39"/>
      <c r="BL60" s="39">
        <f t="shared" si="1"/>
        <v>0</v>
      </c>
      <c r="BM60" s="39">
        <f t="shared" si="2"/>
        <v>0</v>
      </c>
      <c r="BN60" s="216"/>
      <c r="BO60" s="209"/>
    </row>
    <row r="61" spans="1:67" ht="11.25" customHeight="1">
      <c r="A61" s="212" t="s">
        <v>314</v>
      </c>
      <c r="B61" s="39">
        <f>+B53+B55+B59</f>
        <v>18143443</v>
      </c>
      <c r="C61" s="39">
        <f aca="true" t="shared" si="11" ref="C61:BH61">+C53+C55+C59</f>
        <v>11050977.6</v>
      </c>
      <c r="D61" s="39">
        <f t="shared" si="11"/>
        <v>64577</v>
      </c>
      <c r="E61" s="39">
        <f t="shared" si="11"/>
        <v>9642</v>
      </c>
      <c r="F61" s="39">
        <f t="shared" si="11"/>
        <v>20846235</v>
      </c>
      <c r="G61" s="39">
        <f t="shared" si="11"/>
        <v>10071836</v>
      </c>
      <c r="H61" s="39">
        <f t="shared" si="11"/>
        <v>9122687</v>
      </c>
      <c r="I61" s="39">
        <f t="shared" si="11"/>
        <v>5399414</v>
      </c>
      <c r="J61" s="39">
        <f t="shared" si="11"/>
        <v>361200</v>
      </c>
      <c r="K61" s="39">
        <f t="shared" si="11"/>
        <v>3761579</v>
      </c>
      <c r="L61" s="39">
        <f t="shared" si="11"/>
        <v>4334744</v>
      </c>
      <c r="M61" s="39">
        <f t="shared" si="11"/>
        <v>1715338</v>
      </c>
      <c r="N61" s="39">
        <f t="shared" si="11"/>
        <v>1234713</v>
      </c>
      <c r="O61" s="39">
        <f t="shared" si="11"/>
        <v>3674463</v>
      </c>
      <c r="P61" s="39">
        <f t="shared" si="11"/>
        <v>1715609</v>
      </c>
      <c r="Q61" s="39">
        <f t="shared" si="11"/>
        <v>965085</v>
      </c>
      <c r="R61" s="39">
        <f t="shared" si="11"/>
        <v>1945374</v>
      </c>
      <c r="S61" s="39">
        <f t="shared" si="11"/>
        <v>502442</v>
      </c>
      <c r="T61" s="39">
        <f t="shared" si="11"/>
        <v>2410177</v>
      </c>
      <c r="U61" s="39">
        <f t="shared" si="11"/>
        <v>2554373</v>
      </c>
      <c r="V61" s="39">
        <f t="shared" si="11"/>
        <v>2212988</v>
      </c>
      <c r="W61" s="39">
        <f t="shared" si="11"/>
        <v>24240</v>
      </c>
      <c r="X61" s="39">
        <f t="shared" si="11"/>
        <v>2536013</v>
      </c>
      <c r="Y61" s="39">
        <f t="shared" si="11"/>
        <v>1946755</v>
      </c>
      <c r="Z61" s="39">
        <f t="shared" si="11"/>
        <v>2441609</v>
      </c>
      <c r="AA61" s="39">
        <f t="shared" si="11"/>
        <v>1532896</v>
      </c>
      <c r="AB61" s="39">
        <f t="shared" si="11"/>
        <v>1308766.7500000002</v>
      </c>
      <c r="AC61" s="39">
        <f t="shared" si="11"/>
        <v>6494555</v>
      </c>
      <c r="AD61" s="39">
        <f t="shared" si="11"/>
        <v>1298625</v>
      </c>
      <c r="AE61" s="39">
        <f t="shared" si="11"/>
        <v>1206577</v>
      </c>
      <c r="AF61" s="39">
        <f t="shared" si="11"/>
        <v>274824.15099999995</v>
      </c>
      <c r="AG61" s="39">
        <f t="shared" si="11"/>
        <v>2530134</v>
      </c>
      <c r="AH61" s="39">
        <f t="shared" si="11"/>
        <v>184302</v>
      </c>
      <c r="AI61" s="39">
        <f t="shared" si="11"/>
        <v>790356</v>
      </c>
      <c r="AJ61" s="39">
        <f t="shared" si="11"/>
        <v>948484</v>
      </c>
      <c r="AK61" s="39">
        <f t="shared" si="11"/>
        <v>172714.02</v>
      </c>
      <c r="AL61" s="39">
        <f t="shared" si="11"/>
        <v>536399</v>
      </c>
      <c r="AM61" s="39">
        <f t="shared" si="11"/>
        <v>119429</v>
      </c>
      <c r="AN61" s="39">
        <f t="shared" si="11"/>
        <v>-17498</v>
      </c>
      <c r="AO61" s="39">
        <f t="shared" si="11"/>
        <v>288254</v>
      </c>
      <c r="AP61" s="39">
        <f t="shared" si="11"/>
        <v>275924</v>
      </c>
      <c r="AQ61" s="39">
        <f t="shared" si="11"/>
        <v>142076</v>
      </c>
      <c r="AR61" s="39">
        <f t="shared" si="11"/>
        <v>193430</v>
      </c>
      <c r="AS61" s="39">
        <f t="shared" si="11"/>
        <v>47844</v>
      </c>
      <c r="AT61" s="39">
        <f t="shared" si="11"/>
        <v>167351</v>
      </c>
      <c r="AU61" s="39">
        <f t="shared" si="11"/>
        <v>72380.43000000001</v>
      </c>
      <c r="AV61" s="39">
        <f t="shared" si="11"/>
        <v>117890</v>
      </c>
      <c r="AW61" s="39">
        <f t="shared" si="11"/>
        <v>79895</v>
      </c>
      <c r="AX61" s="39">
        <f t="shared" si="11"/>
        <v>89599</v>
      </c>
      <c r="AY61" s="39">
        <f t="shared" si="11"/>
        <v>34837</v>
      </c>
      <c r="AZ61" s="39">
        <f t="shared" si="11"/>
        <v>15088</v>
      </c>
      <c r="BA61" s="39">
        <f t="shared" si="11"/>
        <v>57375</v>
      </c>
      <c r="BB61" s="39">
        <f t="shared" si="11"/>
        <v>16958</v>
      </c>
      <c r="BC61" s="39">
        <f t="shared" si="11"/>
        <v>6379.3630000000085</v>
      </c>
      <c r="BD61" s="39">
        <f t="shared" si="11"/>
        <v>22745</v>
      </c>
      <c r="BE61" s="39">
        <f t="shared" si="11"/>
        <v>8974</v>
      </c>
      <c r="BF61" s="39">
        <f t="shared" si="11"/>
        <v>-6393</v>
      </c>
      <c r="BG61" s="39">
        <f t="shared" si="11"/>
        <v>-25934</v>
      </c>
      <c r="BH61" s="39">
        <f t="shared" si="11"/>
        <v>-517</v>
      </c>
      <c r="BJ61" s="39">
        <f t="shared" si="0"/>
        <v>128030233.314</v>
      </c>
      <c r="BK61" s="39"/>
      <c r="BL61" s="39">
        <f t="shared" si="1"/>
        <v>28259769</v>
      </c>
      <c r="BM61" s="39">
        <f t="shared" si="2"/>
        <v>99770464.314</v>
      </c>
      <c r="BN61" s="216"/>
      <c r="BO61" s="209"/>
    </row>
    <row r="62" spans="1:67" ht="11.25" customHeight="1">
      <c r="A62" s="214"/>
      <c r="C62" s="292"/>
      <c r="F62" s="218"/>
      <c r="G62" s="218"/>
      <c r="H62" s="218"/>
      <c r="I62" s="218"/>
      <c r="J62" s="218"/>
      <c r="K62" s="218"/>
      <c r="L62" s="218"/>
      <c r="M62" s="216"/>
      <c r="N62" s="218"/>
      <c r="R62" s="218"/>
      <c r="S62" s="218"/>
      <c r="T62" s="218"/>
      <c r="U62" s="217"/>
      <c r="X62" s="218"/>
      <c r="Y62" s="218"/>
      <c r="Z62" s="291"/>
      <c r="AA62" s="218"/>
      <c r="AB62" s="218"/>
      <c r="AC62" s="218"/>
      <c r="AD62" s="218"/>
      <c r="AE62" s="218"/>
      <c r="AF62" s="218"/>
      <c r="AG62" s="218"/>
      <c r="AH62" s="218"/>
      <c r="AJ62" s="218"/>
      <c r="AL62" s="217"/>
      <c r="AM62" s="218"/>
      <c r="AN62" s="218"/>
      <c r="AO62" s="218"/>
      <c r="AP62" s="218"/>
      <c r="AQ62" s="218"/>
      <c r="AR62" s="228"/>
      <c r="AS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J62" s="39"/>
      <c r="BK62" s="39"/>
      <c r="BL62" s="39"/>
      <c r="BM62" s="39"/>
      <c r="BN62" s="216"/>
      <c r="BO62" s="209"/>
    </row>
    <row r="63" spans="1:67" ht="11.25" customHeight="1">
      <c r="A63" s="212" t="s">
        <v>315</v>
      </c>
      <c r="B63" s="39">
        <v>90073707</v>
      </c>
      <c r="C63" s="296">
        <v>24388716</v>
      </c>
      <c r="D63" s="39">
        <v>170108</v>
      </c>
      <c r="E63" s="39">
        <v>30689</v>
      </c>
      <c r="F63" s="39">
        <v>100888433</v>
      </c>
      <c r="G63" s="39">
        <v>53406843</v>
      </c>
      <c r="H63" s="39">
        <v>46994000</v>
      </c>
      <c r="I63" s="39">
        <v>44937138</v>
      </c>
      <c r="J63" s="39">
        <v>549756</v>
      </c>
      <c r="K63" s="39">
        <v>27937021</v>
      </c>
      <c r="L63" s="39">
        <v>23866861</v>
      </c>
      <c r="M63" s="216">
        <v>3203038</v>
      </c>
      <c r="N63" s="39">
        <v>1876502</v>
      </c>
      <c r="O63" s="39">
        <v>18770269</v>
      </c>
      <c r="P63" s="39">
        <v>16187738</v>
      </c>
      <c r="Q63" s="39">
        <v>3601324</v>
      </c>
      <c r="R63" s="39">
        <v>15843573</v>
      </c>
      <c r="S63" s="39">
        <v>996601</v>
      </c>
      <c r="T63" s="39">
        <v>13235380</v>
      </c>
      <c r="U63" s="39">
        <v>13009801</v>
      </c>
      <c r="V63" s="39">
        <v>12599017</v>
      </c>
      <c r="W63" s="39">
        <v>258016</v>
      </c>
      <c r="X63" s="215">
        <v>11653719</v>
      </c>
      <c r="Y63" s="39">
        <v>11770635</v>
      </c>
      <c r="Z63" s="291">
        <v>10495948</v>
      </c>
      <c r="AA63" s="39">
        <v>11330829</v>
      </c>
      <c r="AB63" s="39">
        <v>11387963.72125</v>
      </c>
      <c r="AC63" s="39">
        <v>3549916</v>
      </c>
      <c r="AD63" s="39">
        <v>8245499</v>
      </c>
      <c r="AE63" s="39">
        <v>7820199</v>
      </c>
      <c r="AF63" s="39">
        <v>444155.313</v>
      </c>
      <c r="AG63" s="39">
        <v>4266487</v>
      </c>
      <c r="AH63" s="39">
        <v>366463</v>
      </c>
      <c r="AI63" s="39">
        <v>6712216</v>
      </c>
      <c r="AJ63" s="39">
        <v>5461015</v>
      </c>
      <c r="AK63" s="39">
        <v>298383.611</v>
      </c>
      <c r="AL63" s="39">
        <v>2711576</v>
      </c>
      <c r="AM63" s="39">
        <v>2416831</v>
      </c>
      <c r="AN63" s="39">
        <v>209410</v>
      </c>
      <c r="AO63" s="39">
        <v>2383501</v>
      </c>
      <c r="AP63" s="39">
        <v>2003247</v>
      </c>
      <c r="AQ63" s="39">
        <v>2108793</v>
      </c>
      <c r="AR63" s="39">
        <v>1408019</v>
      </c>
      <c r="AS63" s="39">
        <v>83137</v>
      </c>
      <c r="AT63" s="39">
        <v>1308119</v>
      </c>
      <c r="AU63" s="39">
        <v>1345421.409</v>
      </c>
      <c r="AV63" s="39">
        <v>1250537</v>
      </c>
      <c r="AW63" s="39">
        <v>1102855</v>
      </c>
      <c r="AX63" s="39">
        <v>795607</v>
      </c>
      <c r="AY63" s="39">
        <v>630416</v>
      </c>
      <c r="AZ63" s="39">
        <v>580018</v>
      </c>
      <c r="BA63" s="39">
        <v>493543</v>
      </c>
      <c r="BB63" s="39">
        <v>469999</v>
      </c>
      <c r="BC63" s="39">
        <v>446348.91</v>
      </c>
      <c r="BD63" s="39">
        <v>343673</v>
      </c>
      <c r="BE63" s="39">
        <v>186416</v>
      </c>
      <c r="BF63" s="39">
        <v>104163</v>
      </c>
      <c r="BG63" s="39">
        <v>39838</v>
      </c>
      <c r="BH63" s="39">
        <v>8860.849</v>
      </c>
      <c r="BJ63" s="39">
        <f t="shared" si="0"/>
        <v>629058288.81325</v>
      </c>
      <c r="BK63" s="39"/>
      <c r="BL63" s="39">
        <f t="shared" si="1"/>
        <v>113023587</v>
      </c>
      <c r="BM63" s="39">
        <f t="shared" si="2"/>
        <v>516034701.81325</v>
      </c>
      <c r="BN63" s="216"/>
      <c r="BO63" s="209"/>
    </row>
    <row r="64" spans="1:66" s="209" customFormat="1" ht="11.25" customHeight="1">
      <c r="A64" s="222"/>
      <c r="B64" s="205"/>
      <c r="C64" s="205"/>
      <c r="D64" s="205"/>
      <c r="E64" s="205"/>
      <c r="F64" s="217"/>
      <c r="G64" s="218"/>
      <c r="H64" s="218"/>
      <c r="I64" s="218"/>
      <c r="J64" s="218"/>
      <c r="K64" s="218"/>
      <c r="L64" s="218"/>
      <c r="M64" s="216"/>
      <c r="N64" s="218"/>
      <c r="R64" s="218"/>
      <c r="S64" s="218"/>
      <c r="T64" s="218"/>
      <c r="U64" s="217"/>
      <c r="X64" s="218"/>
      <c r="Y64" s="218"/>
      <c r="Z64" s="291"/>
      <c r="AA64" s="218"/>
      <c r="AB64" s="218"/>
      <c r="AC64" s="218"/>
      <c r="AD64" s="218"/>
      <c r="AE64" s="218"/>
      <c r="AF64" s="218"/>
      <c r="AG64" s="218"/>
      <c r="AH64" s="218"/>
      <c r="AI64" s="205"/>
      <c r="AJ64" s="218"/>
      <c r="AL64" s="217"/>
      <c r="AM64" s="218"/>
      <c r="AN64" s="218"/>
      <c r="AO64" s="218"/>
      <c r="AP64" s="218"/>
      <c r="AQ64" s="218"/>
      <c r="AR64" s="205"/>
      <c r="AS64" s="218"/>
      <c r="AT64" s="205"/>
      <c r="AU64" s="205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05"/>
      <c r="BH64" s="205"/>
      <c r="BJ64" s="207"/>
      <c r="BK64" s="207"/>
      <c r="BL64" s="39"/>
      <c r="BM64" s="39"/>
      <c r="BN64" s="233"/>
    </row>
    <row r="65" spans="1:66" s="209" customFormat="1" ht="11.25" customHeight="1">
      <c r="A65" s="287" t="s">
        <v>443</v>
      </c>
      <c r="B65" s="207">
        <f>+B61+B63</f>
        <v>108217150</v>
      </c>
      <c r="C65" s="207">
        <f>+C61+C63</f>
        <v>35439693.6</v>
      </c>
      <c r="D65" s="207">
        <f aca="true" t="shared" si="12" ref="D65:BH65">+D61+D63</f>
        <v>234685</v>
      </c>
      <c r="E65" s="207">
        <f t="shared" si="12"/>
        <v>40331</v>
      </c>
      <c r="F65" s="207">
        <f t="shared" si="12"/>
        <v>121734668</v>
      </c>
      <c r="G65" s="207">
        <f t="shared" si="12"/>
        <v>63478679</v>
      </c>
      <c r="H65" s="207">
        <f t="shared" si="12"/>
        <v>56116687</v>
      </c>
      <c r="I65" s="207">
        <f t="shared" si="12"/>
        <v>50336552</v>
      </c>
      <c r="J65" s="207">
        <f t="shared" si="12"/>
        <v>910956</v>
      </c>
      <c r="K65" s="207">
        <f t="shared" si="12"/>
        <v>31698600</v>
      </c>
      <c r="L65" s="207">
        <f t="shared" si="12"/>
        <v>28201605</v>
      </c>
      <c r="M65" s="207">
        <f t="shared" si="12"/>
        <v>4918376</v>
      </c>
      <c r="N65" s="207">
        <f t="shared" si="12"/>
        <v>3111215</v>
      </c>
      <c r="O65" s="207">
        <f t="shared" si="12"/>
        <v>22444732</v>
      </c>
      <c r="P65" s="207">
        <f t="shared" si="12"/>
        <v>17903347</v>
      </c>
      <c r="Q65" s="207">
        <f t="shared" si="12"/>
        <v>4566409</v>
      </c>
      <c r="R65" s="207">
        <f t="shared" si="12"/>
        <v>17788947</v>
      </c>
      <c r="S65" s="207">
        <f t="shared" si="12"/>
        <v>1499043</v>
      </c>
      <c r="T65" s="207">
        <f t="shared" si="12"/>
        <v>15645557</v>
      </c>
      <c r="U65" s="207">
        <f t="shared" si="12"/>
        <v>15564174</v>
      </c>
      <c r="V65" s="207">
        <f t="shared" si="12"/>
        <v>14812005</v>
      </c>
      <c r="W65" s="207">
        <f t="shared" si="12"/>
        <v>282256</v>
      </c>
      <c r="X65" s="207">
        <f t="shared" si="12"/>
        <v>14189732</v>
      </c>
      <c r="Y65" s="207">
        <f t="shared" si="12"/>
        <v>13717390</v>
      </c>
      <c r="Z65" s="207">
        <f t="shared" si="12"/>
        <v>12937557</v>
      </c>
      <c r="AA65" s="207">
        <f t="shared" si="12"/>
        <v>12863725</v>
      </c>
      <c r="AB65" s="207">
        <f t="shared" si="12"/>
        <v>12696730.47125</v>
      </c>
      <c r="AC65" s="207">
        <f t="shared" si="12"/>
        <v>10044471</v>
      </c>
      <c r="AD65" s="207">
        <f t="shared" si="12"/>
        <v>9544124</v>
      </c>
      <c r="AE65" s="207">
        <f t="shared" si="12"/>
        <v>9026776</v>
      </c>
      <c r="AF65" s="207">
        <f t="shared" si="12"/>
        <v>718979.4639999999</v>
      </c>
      <c r="AG65" s="207">
        <f t="shared" si="12"/>
        <v>6796621</v>
      </c>
      <c r="AH65" s="207">
        <f t="shared" si="12"/>
        <v>550765</v>
      </c>
      <c r="AI65" s="207">
        <f t="shared" si="12"/>
        <v>7502572</v>
      </c>
      <c r="AJ65" s="207">
        <f t="shared" si="12"/>
        <v>6409499</v>
      </c>
      <c r="AK65" s="207">
        <f t="shared" si="12"/>
        <v>471097.63099999994</v>
      </c>
      <c r="AL65" s="207">
        <f t="shared" si="12"/>
        <v>3247975</v>
      </c>
      <c r="AM65" s="207">
        <f t="shared" si="12"/>
        <v>2536260</v>
      </c>
      <c r="AN65" s="207">
        <f t="shared" si="12"/>
        <v>191912</v>
      </c>
      <c r="AO65" s="207">
        <f t="shared" si="12"/>
        <v>2671755</v>
      </c>
      <c r="AP65" s="207">
        <f t="shared" si="12"/>
        <v>2279171</v>
      </c>
      <c r="AQ65" s="207">
        <f t="shared" si="12"/>
        <v>2250869</v>
      </c>
      <c r="AR65" s="207">
        <f t="shared" si="12"/>
        <v>1601449</v>
      </c>
      <c r="AS65" s="207">
        <f t="shared" si="12"/>
        <v>130981</v>
      </c>
      <c r="AT65" s="207">
        <f t="shared" si="12"/>
        <v>1475470</v>
      </c>
      <c r="AU65" s="207">
        <f t="shared" si="12"/>
        <v>1417801.839</v>
      </c>
      <c r="AV65" s="207">
        <f t="shared" si="12"/>
        <v>1368427</v>
      </c>
      <c r="AW65" s="207">
        <f t="shared" si="12"/>
        <v>1182750</v>
      </c>
      <c r="AX65" s="207">
        <f t="shared" si="12"/>
        <v>885206</v>
      </c>
      <c r="AY65" s="207">
        <f t="shared" si="12"/>
        <v>665253</v>
      </c>
      <c r="AZ65" s="207">
        <f t="shared" si="12"/>
        <v>595106</v>
      </c>
      <c r="BA65" s="207">
        <f t="shared" si="12"/>
        <v>550918</v>
      </c>
      <c r="BB65" s="207">
        <f t="shared" si="12"/>
        <v>486957</v>
      </c>
      <c r="BC65" s="207">
        <f t="shared" si="12"/>
        <v>452728.273</v>
      </c>
      <c r="BD65" s="207">
        <f t="shared" si="12"/>
        <v>366418</v>
      </c>
      <c r="BE65" s="207">
        <f t="shared" si="12"/>
        <v>195390</v>
      </c>
      <c r="BF65" s="207">
        <f t="shared" si="12"/>
        <v>97770</v>
      </c>
      <c r="BG65" s="207">
        <f t="shared" si="12"/>
        <v>13904</v>
      </c>
      <c r="BH65" s="207">
        <f t="shared" si="12"/>
        <v>8343.849</v>
      </c>
      <c r="BI65" s="207"/>
      <c r="BJ65" s="207">
        <f t="shared" si="0"/>
        <v>757088522.1272501</v>
      </c>
      <c r="BK65" s="207"/>
      <c r="BL65" s="207">
        <f t="shared" si="1"/>
        <v>141283356</v>
      </c>
      <c r="BM65" s="207">
        <f t="shared" si="2"/>
        <v>615805166.1272501</v>
      </c>
      <c r="BN65" s="233"/>
    </row>
    <row r="66" spans="1:66" s="209" customFormat="1" ht="11.25" customHeight="1">
      <c r="A66" s="28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207"/>
      <c r="BJ66" s="207"/>
      <c r="BK66" s="207"/>
      <c r="BL66" s="39"/>
      <c r="BM66" s="39"/>
      <c r="BN66" s="233"/>
    </row>
    <row r="67" spans="1:67" ht="18" customHeight="1">
      <c r="A67" s="241" t="s">
        <v>424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216"/>
      <c r="BO67" s="209"/>
    </row>
    <row r="68" spans="1:67" ht="11.25" customHeight="1">
      <c r="A68" s="225" t="s">
        <v>423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216"/>
      <c r="BO68" s="209"/>
    </row>
    <row r="69" spans="1:67" ht="11.25" customHeight="1" outlineLevel="1">
      <c r="A69" s="226" t="s">
        <v>440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  <c r="AN69" s="39">
        <v>0</v>
      </c>
      <c r="AO69" s="39">
        <v>0</v>
      </c>
      <c r="AP69" s="39">
        <v>0</v>
      </c>
      <c r="AQ69" s="39">
        <v>0</v>
      </c>
      <c r="AR69" s="39">
        <v>0</v>
      </c>
      <c r="AS69" s="39">
        <v>0</v>
      </c>
      <c r="AT69" s="39">
        <v>0</v>
      </c>
      <c r="AU69" s="39">
        <v>0</v>
      </c>
      <c r="AV69" s="39">
        <v>0</v>
      </c>
      <c r="AW69" s="39">
        <v>0</v>
      </c>
      <c r="AX69" s="39">
        <v>0</v>
      </c>
      <c r="AY69" s="39">
        <v>0</v>
      </c>
      <c r="AZ69" s="39">
        <v>0</v>
      </c>
      <c r="BA69" s="39">
        <v>0</v>
      </c>
      <c r="BB69" s="39">
        <v>0</v>
      </c>
      <c r="BC69" s="39">
        <v>0</v>
      </c>
      <c r="BD69" s="39">
        <v>0</v>
      </c>
      <c r="BE69" s="39">
        <v>0</v>
      </c>
      <c r="BF69" s="39">
        <v>0</v>
      </c>
      <c r="BG69" s="39">
        <v>0</v>
      </c>
      <c r="BH69" s="39">
        <v>0</v>
      </c>
      <c r="BI69" s="39"/>
      <c r="BJ69" s="39">
        <f>SUM(B69:BH69)</f>
        <v>0</v>
      </c>
      <c r="BK69" s="39"/>
      <c r="BL69" s="39">
        <f t="shared" si="1"/>
        <v>0</v>
      </c>
      <c r="BM69" s="39">
        <f t="shared" si="2"/>
        <v>0</v>
      </c>
      <c r="BN69" s="39"/>
      <c r="BO69" s="209"/>
    </row>
    <row r="70" spans="1:67" ht="11.25" customHeight="1" outlineLevel="1">
      <c r="A70" s="229"/>
      <c r="D70" s="216"/>
      <c r="E70" s="216"/>
      <c r="F70" s="218"/>
      <c r="I70" s="218"/>
      <c r="J70" s="227"/>
      <c r="K70" s="218"/>
      <c r="L70" s="218"/>
      <c r="M70" s="217"/>
      <c r="N70" s="218"/>
      <c r="R70" s="218"/>
      <c r="S70" s="227"/>
      <c r="U70" s="217"/>
      <c r="X70" s="218"/>
      <c r="Y70" s="218"/>
      <c r="Z70" s="297"/>
      <c r="AA70" s="218"/>
      <c r="AB70" s="218"/>
      <c r="AC70" s="218"/>
      <c r="AD70" s="218"/>
      <c r="AG70" s="218"/>
      <c r="AH70" s="227"/>
      <c r="AJ70" s="218"/>
      <c r="AL70" s="217"/>
      <c r="AM70" s="218"/>
      <c r="AN70" s="227"/>
      <c r="AO70" s="218"/>
      <c r="AX70" s="218"/>
      <c r="BA70" s="218"/>
      <c r="BB70" s="218"/>
      <c r="BC70" s="218"/>
      <c r="BD70" s="218"/>
      <c r="BE70" s="218"/>
      <c r="BF70" s="218"/>
      <c r="BJ70" s="39"/>
      <c r="BK70" s="39"/>
      <c r="BL70" s="39">
        <f t="shared" si="1"/>
        <v>0</v>
      </c>
      <c r="BM70" s="39">
        <f t="shared" si="2"/>
        <v>0</v>
      </c>
      <c r="BN70" s="39"/>
      <c r="BO70" s="209"/>
    </row>
    <row r="71" spans="1:67" ht="11.25" customHeight="1" outlineLevel="1">
      <c r="A71" s="229" t="s">
        <v>235</v>
      </c>
      <c r="D71" s="216"/>
      <c r="E71" s="216"/>
      <c r="F71" s="218"/>
      <c r="I71" s="218"/>
      <c r="J71" s="227"/>
      <c r="K71" s="218"/>
      <c r="L71" s="218"/>
      <c r="M71" s="217"/>
      <c r="N71" s="218"/>
      <c r="R71" s="218"/>
      <c r="S71" s="227"/>
      <c r="U71" s="217"/>
      <c r="X71" s="218"/>
      <c r="Y71" s="218"/>
      <c r="Z71" s="297"/>
      <c r="AA71" s="218"/>
      <c r="AB71" s="218"/>
      <c r="AC71" s="218"/>
      <c r="AD71" s="218"/>
      <c r="AG71" s="218"/>
      <c r="AH71" s="227"/>
      <c r="AJ71" s="218"/>
      <c r="AL71" s="217"/>
      <c r="AM71" s="218"/>
      <c r="AN71" s="227"/>
      <c r="AO71" s="218"/>
      <c r="AX71" s="218"/>
      <c r="BA71" s="218"/>
      <c r="BB71" s="216"/>
      <c r="BC71" s="218"/>
      <c r="BD71" s="218"/>
      <c r="BE71" s="218"/>
      <c r="BF71" s="218"/>
      <c r="BJ71" s="39"/>
      <c r="BK71" s="39"/>
      <c r="BL71" s="39">
        <f t="shared" si="1"/>
        <v>0</v>
      </c>
      <c r="BM71" s="39">
        <f t="shared" si="2"/>
        <v>0</v>
      </c>
      <c r="BN71" s="39"/>
      <c r="BO71" s="209"/>
    </row>
    <row r="72" spans="1:67" ht="11.25" customHeight="1" outlineLevel="1">
      <c r="A72" s="206" t="s">
        <v>236</v>
      </c>
      <c r="B72" s="216">
        <v>68677</v>
      </c>
      <c r="C72" s="216">
        <v>68677</v>
      </c>
      <c r="D72" s="216">
        <v>0</v>
      </c>
      <c r="E72" s="216">
        <v>0</v>
      </c>
      <c r="F72" s="216">
        <v>305422</v>
      </c>
      <c r="G72" s="216">
        <v>213668</v>
      </c>
      <c r="H72" s="216">
        <v>83160</v>
      </c>
      <c r="I72" s="216">
        <v>154828</v>
      </c>
      <c r="J72" s="216">
        <v>0</v>
      </c>
      <c r="K72" s="216">
        <v>78400</v>
      </c>
      <c r="L72" s="216">
        <v>0</v>
      </c>
      <c r="M72" s="39">
        <v>0</v>
      </c>
      <c r="N72" s="39">
        <v>0</v>
      </c>
      <c r="O72" s="216">
        <v>71893</v>
      </c>
      <c r="P72" s="216">
        <v>0</v>
      </c>
      <c r="Q72" s="216">
        <v>0</v>
      </c>
      <c r="R72" s="216">
        <v>78024</v>
      </c>
      <c r="S72" s="216">
        <v>0</v>
      </c>
      <c r="T72" s="216">
        <v>28195</v>
      </c>
      <c r="U72" s="216">
        <v>0</v>
      </c>
      <c r="V72" s="216">
        <v>37641</v>
      </c>
      <c r="W72" s="216">
        <v>0</v>
      </c>
      <c r="X72" s="216">
        <v>0</v>
      </c>
      <c r="Y72" s="216">
        <v>0</v>
      </c>
      <c r="Z72" s="298">
        <v>15262</v>
      </c>
      <c r="AA72" s="216">
        <v>25300</v>
      </c>
      <c r="AB72" s="216">
        <v>0</v>
      </c>
      <c r="AC72" s="216">
        <v>0</v>
      </c>
      <c r="AD72" s="216">
        <v>18345</v>
      </c>
      <c r="AE72" s="216">
        <v>0</v>
      </c>
      <c r="AF72" s="216">
        <v>0</v>
      </c>
      <c r="AG72" s="216">
        <v>0</v>
      </c>
      <c r="AH72" s="216">
        <v>0</v>
      </c>
      <c r="AI72" s="216">
        <v>0</v>
      </c>
      <c r="AJ72" s="216">
        <v>11682</v>
      </c>
      <c r="AK72" s="216">
        <v>0</v>
      </c>
      <c r="AL72" s="216">
        <v>0</v>
      </c>
      <c r="AM72" s="216">
        <v>0</v>
      </c>
      <c r="AN72" s="216">
        <v>0</v>
      </c>
      <c r="AO72" s="216">
        <v>9343</v>
      </c>
      <c r="AP72" s="216">
        <v>0</v>
      </c>
      <c r="AQ72" s="216">
        <v>0</v>
      </c>
      <c r="AR72" s="216">
        <v>0</v>
      </c>
      <c r="AS72" s="216">
        <v>0</v>
      </c>
      <c r="AT72" s="216">
        <v>0</v>
      </c>
      <c r="AU72" s="216">
        <v>0</v>
      </c>
      <c r="AV72" s="216">
        <v>0</v>
      </c>
      <c r="AW72" s="216">
        <v>0</v>
      </c>
      <c r="AX72" s="216">
        <v>0</v>
      </c>
      <c r="AY72" s="216">
        <v>0</v>
      </c>
      <c r="AZ72" s="216">
        <v>0</v>
      </c>
      <c r="BA72" s="216">
        <v>0</v>
      </c>
      <c r="BB72" s="216">
        <v>0</v>
      </c>
      <c r="BC72" s="216">
        <v>0</v>
      </c>
      <c r="BD72" s="216">
        <v>0</v>
      </c>
      <c r="BE72" s="216">
        <v>0</v>
      </c>
      <c r="BF72" s="216">
        <v>0</v>
      </c>
      <c r="BG72" s="216">
        <v>0</v>
      </c>
      <c r="BH72" s="216">
        <v>0</v>
      </c>
      <c r="BJ72" s="39">
        <f aca="true" t="shared" si="13" ref="BJ72:BJ77">SUM(B72:BH72)</f>
        <v>1268517</v>
      </c>
      <c r="BK72" s="39"/>
      <c r="BL72" s="39">
        <f t="shared" si="1"/>
        <v>83939</v>
      </c>
      <c r="BM72" s="39">
        <f t="shared" si="2"/>
        <v>1184578</v>
      </c>
      <c r="BN72" s="39"/>
      <c r="BO72" s="209"/>
    </row>
    <row r="73" spans="1:67" ht="11.25" customHeight="1" outlineLevel="1">
      <c r="A73" s="206" t="s">
        <v>237</v>
      </c>
      <c r="B73" s="216">
        <v>0</v>
      </c>
      <c r="C73" s="216">
        <v>0</v>
      </c>
      <c r="D73" s="216">
        <v>0</v>
      </c>
      <c r="E73" s="216">
        <v>0</v>
      </c>
      <c r="F73" s="216">
        <v>0</v>
      </c>
      <c r="G73" s="216">
        <v>40162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39">
        <v>0</v>
      </c>
      <c r="N73" s="39">
        <v>0</v>
      </c>
      <c r="O73" s="39">
        <v>0</v>
      </c>
      <c r="P73" s="216">
        <v>0</v>
      </c>
      <c r="Q73" s="216">
        <v>0</v>
      </c>
      <c r="R73" s="216">
        <v>0</v>
      </c>
      <c r="S73" s="216">
        <v>0</v>
      </c>
      <c r="T73" s="216">
        <v>0</v>
      </c>
      <c r="U73" s="216">
        <v>0</v>
      </c>
      <c r="V73" s="216">
        <v>0</v>
      </c>
      <c r="W73" s="216">
        <v>0</v>
      </c>
      <c r="X73" s="216">
        <v>0</v>
      </c>
      <c r="Y73" s="216">
        <v>0</v>
      </c>
      <c r="Z73" s="216">
        <v>0</v>
      </c>
      <c r="AA73" s="216">
        <v>0</v>
      </c>
      <c r="AB73" s="216">
        <v>0</v>
      </c>
      <c r="AC73" s="216">
        <v>0</v>
      </c>
      <c r="AD73" s="216">
        <v>0</v>
      </c>
      <c r="AE73" s="216">
        <v>0</v>
      </c>
      <c r="AF73" s="216">
        <v>0</v>
      </c>
      <c r="AG73" s="216">
        <v>0</v>
      </c>
      <c r="AH73" s="216">
        <v>0</v>
      </c>
      <c r="AI73" s="216">
        <v>0</v>
      </c>
      <c r="AJ73" s="216">
        <v>0</v>
      </c>
      <c r="AK73" s="216">
        <v>0</v>
      </c>
      <c r="AL73" s="216">
        <v>0</v>
      </c>
      <c r="AM73" s="216">
        <v>0</v>
      </c>
      <c r="AN73" s="216">
        <v>0</v>
      </c>
      <c r="AO73" s="216">
        <v>0</v>
      </c>
      <c r="AP73" s="216">
        <v>0</v>
      </c>
      <c r="AQ73" s="216">
        <v>0</v>
      </c>
      <c r="AR73" s="216">
        <v>0</v>
      </c>
      <c r="AS73" s="216">
        <v>0</v>
      </c>
      <c r="AT73" s="216">
        <v>0</v>
      </c>
      <c r="AU73" s="216">
        <v>0</v>
      </c>
      <c r="AV73" s="216">
        <v>0</v>
      </c>
      <c r="AW73" s="216">
        <v>0</v>
      </c>
      <c r="AX73" s="216">
        <v>0</v>
      </c>
      <c r="AY73" s="216">
        <v>0</v>
      </c>
      <c r="AZ73" s="216">
        <v>0</v>
      </c>
      <c r="BA73" s="216">
        <v>0</v>
      </c>
      <c r="BB73" s="216">
        <v>0</v>
      </c>
      <c r="BC73" s="216">
        <v>0</v>
      </c>
      <c r="BD73" s="216">
        <v>0</v>
      </c>
      <c r="BE73" s="216">
        <v>0</v>
      </c>
      <c r="BF73" s="216">
        <v>0</v>
      </c>
      <c r="BG73" s="216">
        <v>0</v>
      </c>
      <c r="BH73" s="216">
        <v>0</v>
      </c>
      <c r="BJ73" s="39">
        <f t="shared" si="13"/>
        <v>40162</v>
      </c>
      <c r="BK73" s="39"/>
      <c r="BL73" s="39">
        <f t="shared" si="1"/>
        <v>0</v>
      </c>
      <c r="BM73" s="39">
        <f t="shared" si="2"/>
        <v>40162</v>
      </c>
      <c r="BN73" s="39"/>
      <c r="BO73" s="209"/>
    </row>
    <row r="74" spans="1:67" ht="11.25" customHeight="1" outlineLevel="1">
      <c r="A74" s="206" t="s">
        <v>238</v>
      </c>
      <c r="B74" s="216">
        <v>0</v>
      </c>
      <c r="C74" s="216">
        <v>0</v>
      </c>
      <c r="D74" s="216">
        <v>0</v>
      </c>
      <c r="E74" s="216">
        <v>0</v>
      </c>
      <c r="F74" s="216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153398</v>
      </c>
      <c r="L74" s="216">
        <v>0</v>
      </c>
      <c r="M74" s="39">
        <v>0</v>
      </c>
      <c r="N74" s="39">
        <v>0</v>
      </c>
      <c r="O74" s="39">
        <v>0</v>
      </c>
      <c r="P74" s="216">
        <v>0</v>
      </c>
      <c r="Q74" s="216">
        <v>0</v>
      </c>
      <c r="R74" s="216">
        <v>0</v>
      </c>
      <c r="S74" s="216">
        <v>0</v>
      </c>
      <c r="T74" s="216">
        <v>0</v>
      </c>
      <c r="U74" s="216">
        <v>0</v>
      </c>
      <c r="V74" s="216">
        <v>0</v>
      </c>
      <c r="W74" s="216">
        <v>0</v>
      </c>
      <c r="X74" s="216">
        <v>0</v>
      </c>
      <c r="Y74" s="216">
        <v>0</v>
      </c>
      <c r="Z74" s="216">
        <v>0</v>
      </c>
      <c r="AA74" s="216">
        <v>0</v>
      </c>
      <c r="AB74" s="216">
        <v>0</v>
      </c>
      <c r="AC74" s="216">
        <v>0</v>
      </c>
      <c r="AD74" s="216">
        <v>0</v>
      </c>
      <c r="AE74" s="216">
        <v>0</v>
      </c>
      <c r="AF74" s="216">
        <v>0</v>
      </c>
      <c r="AG74" s="216">
        <v>0</v>
      </c>
      <c r="AH74" s="216">
        <v>0</v>
      </c>
      <c r="AI74" s="216">
        <v>0</v>
      </c>
      <c r="AJ74" s="216">
        <v>0</v>
      </c>
      <c r="AK74" s="216">
        <v>0</v>
      </c>
      <c r="AL74" s="216">
        <v>0</v>
      </c>
      <c r="AM74" s="216">
        <v>0</v>
      </c>
      <c r="AN74" s="216">
        <v>0</v>
      </c>
      <c r="AO74" s="216">
        <v>0</v>
      </c>
      <c r="AP74" s="216">
        <v>0</v>
      </c>
      <c r="AQ74" s="216">
        <v>0</v>
      </c>
      <c r="AR74" s="216">
        <v>0</v>
      </c>
      <c r="AS74" s="216">
        <v>0</v>
      </c>
      <c r="AT74" s="216">
        <v>0</v>
      </c>
      <c r="AU74" s="216">
        <v>0</v>
      </c>
      <c r="AV74" s="216">
        <v>0</v>
      </c>
      <c r="AW74" s="216">
        <v>0</v>
      </c>
      <c r="AX74" s="216">
        <v>0</v>
      </c>
      <c r="AY74" s="216">
        <v>0</v>
      </c>
      <c r="AZ74" s="216">
        <v>0</v>
      </c>
      <c r="BA74" s="216">
        <v>0</v>
      </c>
      <c r="BB74" s="216">
        <v>0</v>
      </c>
      <c r="BC74" s="216">
        <v>0</v>
      </c>
      <c r="BD74" s="216">
        <v>0</v>
      </c>
      <c r="BE74" s="216">
        <v>0</v>
      </c>
      <c r="BF74" s="216">
        <v>0</v>
      </c>
      <c r="BG74" s="216">
        <v>0</v>
      </c>
      <c r="BH74" s="216">
        <v>0</v>
      </c>
      <c r="BJ74" s="39">
        <f t="shared" si="13"/>
        <v>153398</v>
      </c>
      <c r="BK74" s="39"/>
      <c r="BL74" s="39">
        <f t="shared" si="1"/>
        <v>0</v>
      </c>
      <c r="BM74" s="39">
        <f t="shared" si="2"/>
        <v>153398</v>
      </c>
      <c r="BN74" s="39"/>
      <c r="BO74" s="209"/>
    </row>
    <row r="75" spans="1:67" ht="11.25" customHeight="1" outlineLevel="1">
      <c r="A75" s="206" t="s">
        <v>239</v>
      </c>
      <c r="B75" s="216">
        <v>0</v>
      </c>
      <c r="C75" s="216">
        <v>0</v>
      </c>
      <c r="D75" s="216">
        <v>0</v>
      </c>
      <c r="E75" s="216">
        <v>0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218662</v>
      </c>
      <c r="L75" s="216">
        <v>0</v>
      </c>
      <c r="M75" s="39">
        <v>0</v>
      </c>
      <c r="N75" s="39">
        <v>0</v>
      </c>
      <c r="O75" s="39">
        <v>0</v>
      </c>
      <c r="P75" s="216">
        <v>0</v>
      </c>
      <c r="Q75" s="216">
        <v>0</v>
      </c>
      <c r="R75" s="216">
        <v>0</v>
      </c>
      <c r="S75" s="216">
        <v>0</v>
      </c>
      <c r="T75" s="216">
        <v>0</v>
      </c>
      <c r="U75" s="216">
        <v>0</v>
      </c>
      <c r="V75" s="216">
        <v>0</v>
      </c>
      <c r="W75" s="216">
        <v>0</v>
      </c>
      <c r="X75" s="216">
        <v>0</v>
      </c>
      <c r="Y75" s="216">
        <v>0</v>
      </c>
      <c r="Z75" s="216">
        <v>0</v>
      </c>
      <c r="AA75" s="216">
        <v>0</v>
      </c>
      <c r="AB75" s="216">
        <v>0</v>
      </c>
      <c r="AC75" s="216">
        <v>0</v>
      </c>
      <c r="AD75" s="216">
        <v>0</v>
      </c>
      <c r="AE75" s="216">
        <v>0</v>
      </c>
      <c r="AF75" s="216">
        <v>0</v>
      </c>
      <c r="AG75" s="216">
        <v>0</v>
      </c>
      <c r="AH75" s="216">
        <v>0</v>
      </c>
      <c r="AI75" s="216">
        <v>0</v>
      </c>
      <c r="AJ75" s="216">
        <v>0</v>
      </c>
      <c r="AK75" s="216">
        <v>0</v>
      </c>
      <c r="AL75" s="216">
        <v>0</v>
      </c>
      <c r="AM75" s="216">
        <v>0</v>
      </c>
      <c r="AN75" s="216">
        <v>0</v>
      </c>
      <c r="AO75" s="216">
        <v>0</v>
      </c>
      <c r="AP75" s="216">
        <v>0</v>
      </c>
      <c r="AQ75" s="216">
        <v>0</v>
      </c>
      <c r="AR75" s="216">
        <v>0</v>
      </c>
      <c r="AS75" s="216">
        <v>0</v>
      </c>
      <c r="AT75" s="216">
        <v>0</v>
      </c>
      <c r="AU75" s="216">
        <v>0</v>
      </c>
      <c r="AV75" s="216">
        <v>0</v>
      </c>
      <c r="AW75" s="216">
        <v>0</v>
      </c>
      <c r="AX75" s="216">
        <v>0</v>
      </c>
      <c r="AY75" s="216">
        <v>0</v>
      </c>
      <c r="AZ75" s="216">
        <v>0</v>
      </c>
      <c r="BA75" s="216">
        <v>0</v>
      </c>
      <c r="BB75" s="216">
        <v>0</v>
      </c>
      <c r="BC75" s="216">
        <v>0</v>
      </c>
      <c r="BD75" s="216">
        <v>0</v>
      </c>
      <c r="BE75" s="216">
        <v>0</v>
      </c>
      <c r="BF75" s="216">
        <v>0</v>
      </c>
      <c r="BG75" s="216">
        <v>0</v>
      </c>
      <c r="BH75" s="216">
        <v>0</v>
      </c>
      <c r="BJ75" s="39">
        <f t="shared" si="13"/>
        <v>218662</v>
      </c>
      <c r="BK75" s="39"/>
      <c r="BL75" s="39">
        <f aca="true" t="shared" si="14" ref="BL75:BL138">+B75+D75+E75+Z75+AC75+AL75+AN75+AR75+AT75+AW75+AX75+BA75+BD75+BE75+BF75+BG75</f>
        <v>0</v>
      </c>
      <c r="BM75" s="39">
        <f aca="true" t="shared" si="15" ref="BM75:BM138">+C75+F75+G75+H75+I75+J75+K75+L75+M75+N75+O75+P75+Q75+R75+S75+T75+U75+V75+W75+X75+Y75+AA75+AB75+AD75+AE75+AF75+AG75+AH75+AI75+AJ75+AK75+AM75+AO75+AP75+AQ75+AS75+AU75+AV75+AY75+AZ75+BB75+BC75+BH75</f>
        <v>218662</v>
      </c>
      <c r="BN75" s="39"/>
      <c r="BO75" s="209"/>
    </row>
    <row r="76" spans="1:67" ht="11.25" customHeight="1" outlineLevel="1">
      <c r="A76" s="206" t="s">
        <v>240</v>
      </c>
      <c r="B76" s="216">
        <v>0</v>
      </c>
      <c r="C76" s="216">
        <v>0</v>
      </c>
      <c r="D76" s="216">
        <v>0</v>
      </c>
      <c r="E76" s="216">
        <v>0</v>
      </c>
      <c r="F76" s="216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39">
        <v>0</v>
      </c>
      <c r="N76" s="39">
        <v>0</v>
      </c>
      <c r="O76" s="39">
        <v>0</v>
      </c>
      <c r="P76" s="216">
        <v>0</v>
      </c>
      <c r="Q76" s="216">
        <v>0</v>
      </c>
      <c r="R76" s="216">
        <v>0</v>
      </c>
      <c r="S76" s="216">
        <v>0</v>
      </c>
      <c r="T76" s="216">
        <v>0</v>
      </c>
      <c r="U76" s="216">
        <v>0</v>
      </c>
      <c r="V76" s="216">
        <v>0</v>
      </c>
      <c r="W76" s="216">
        <v>0</v>
      </c>
      <c r="X76" s="216">
        <v>0</v>
      </c>
      <c r="Y76" s="216">
        <v>0</v>
      </c>
      <c r="Z76" s="216">
        <v>0</v>
      </c>
      <c r="AA76" s="216">
        <v>40162</v>
      </c>
      <c r="AB76" s="216">
        <v>0</v>
      </c>
      <c r="AC76" s="216">
        <v>0</v>
      </c>
      <c r="AD76" s="216">
        <v>0</v>
      </c>
      <c r="AE76" s="216">
        <v>0</v>
      </c>
      <c r="AF76" s="216">
        <v>0</v>
      </c>
      <c r="AG76" s="216">
        <v>0</v>
      </c>
      <c r="AH76" s="216">
        <v>0</v>
      </c>
      <c r="AI76" s="216">
        <v>0</v>
      </c>
      <c r="AJ76" s="216">
        <v>0</v>
      </c>
      <c r="AK76" s="216">
        <v>0</v>
      </c>
      <c r="AL76" s="216">
        <v>0</v>
      </c>
      <c r="AM76" s="216">
        <v>0</v>
      </c>
      <c r="AN76" s="216">
        <v>0</v>
      </c>
      <c r="AO76" s="216">
        <v>0</v>
      </c>
      <c r="AP76" s="216">
        <v>0</v>
      </c>
      <c r="AQ76" s="216">
        <v>0</v>
      </c>
      <c r="AR76" s="216">
        <v>0</v>
      </c>
      <c r="AS76" s="216">
        <v>0</v>
      </c>
      <c r="AT76" s="216">
        <v>0</v>
      </c>
      <c r="AU76" s="216">
        <v>0</v>
      </c>
      <c r="AV76" s="216">
        <v>0</v>
      </c>
      <c r="AW76" s="216">
        <v>0</v>
      </c>
      <c r="AX76" s="216">
        <v>0</v>
      </c>
      <c r="AY76" s="216">
        <v>0</v>
      </c>
      <c r="AZ76" s="216">
        <v>0</v>
      </c>
      <c r="BA76" s="216">
        <v>0</v>
      </c>
      <c r="BB76" s="216">
        <v>0</v>
      </c>
      <c r="BC76" s="216">
        <v>0</v>
      </c>
      <c r="BD76" s="216">
        <v>0</v>
      </c>
      <c r="BE76" s="216">
        <v>0</v>
      </c>
      <c r="BF76" s="216">
        <v>0</v>
      </c>
      <c r="BG76" s="216">
        <v>0</v>
      </c>
      <c r="BH76" s="216">
        <v>0</v>
      </c>
      <c r="BJ76" s="39">
        <f t="shared" si="13"/>
        <v>40162</v>
      </c>
      <c r="BK76" s="39"/>
      <c r="BL76" s="39">
        <f t="shared" si="14"/>
        <v>0</v>
      </c>
      <c r="BM76" s="39">
        <f t="shared" si="15"/>
        <v>40162</v>
      </c>
      <c r="BN76" s="39"/>
      <c r="BO76" s="209"/>
    </row>
    <row r="77" spans="1:67" ht="11.25" customHeight="1" outlineLevel="1">
      <c r="A77" s="206" t="s">
        <v>241</v>
      </c>
      <c r="B77" s="216">
        <v>0</v>
      </c>
      <c r="C77" s="216">
        <v>0</v>
      </c>
      <c r="D77" s="216">
        <v>0</v>
      </c>
      <c r="E77" s="216">
        <v>0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39">
        <v>0</v>
      </c>
      <c r="N77" s="39">
        <v>0</v>
      </c>
      <c r="O77" s="39">
        <v>0</v>
      </c>
      <c r="P77" s="216">
        <v>0</v>
      </c>
      <c r="Q77" s="216">
        <v>0</v>
      </c>
      <c r="R77" s="216">
        <v>0</v>
      </c>
      <c r="S77" s="216">
        <v>0</v>
      </c>
      <c r="T77" s="216">
        <v>0</v>
      </c>
      <c r="U77" s="216">
        <v>0</v>
      </c>
      <c r="V77" s="216">
        <v>0</v>
      </c>
      <c r="W77" s="216">
        <v>0</v>
      </c>
      <c r="X77" s="216">
        <v>0</v>
      </c>
      <c r="Y77" s="216">
        <v>0</v>
      </c>
      <c r="Z77" s="216">
        <v>0</v>
      </c>
      <c r="AA77" s="216">
        <v>0</v>
      </c>
      <c r="AB77" s="216">
        <v>0</v>
      </c>
      <c r="AC77" s="216">
        <v>0</v>
      </c>
      <c r="AD77" s="216">
        <v>0</v>
      </c>
      <c r="AE77" s="216">
        <v>0</v>
      </c>
      <c r="AF77" s="216">
        <v>0</v>
      </c>
      <c r="AG77" s="216">
        <v>0</v>
      </c>
      <c r="AH77" s="216">
        <v>0</v>
      </c>
      <c r="AI77" s="216">
        <v>0</v>
      </c>
      <c r="AJ77" s="216">
        <v>0</v>
      </c>
      <c r="AK77" s="216">
        <v>0</v>
      </c>
      <c r="AL77" s="216">
        <v>0</v>
      </c>
      <c r="AM77" s="216">
        <v>0</v>
      </c>
      <c r="AN77" s="216">
        <v>0</v>
      </c>
      <c r="AO77" s="216">
        <v>0</v>
      </c>
      <c r="AP77" s="216">
        <v>0</v>
      </c>
      <c r="AQ77" s="216">
        <v>0</v>
      </c>
      <c r="AR77" s="216">
        <v>0</v>
      </c>
      <c r="AS77" s="216">
        <v>0</v>
      </c>
      <c r="AT77" s="216">
        <v>0</v>
      </c>
      <c r="AU77" s="216">
        <v>0</v>
      </c>
      <c r="AV77" s="216">
        <v>0</v>
      </c>
      <c r="AW77" s="216">
        <v>0</v>
      </c>
      <c r="AX77" s="216">
        <v>0</v>
      </c>
      <c r="AY77" s="216">
        <v>0</v>
      </c>
      <c r="AZ77" s="216">
        <v>0</v>
      </c>
      <c r="BA77" s="216">
        <v>0</v>
      </c>
      <c r="BB77" s="216">
        <v>0</v>
      </c>
      <c r="BC77" s="216">
        <v>0</v>
      </c>
      <c r="BD77" s="216">
        <v>0</v>
      </c>
      <c r="BE77" s="216">
        <v>0</v>
      </c>
      <c r="BF77" s="216">
        <v>0</v>
      </c>
      <c r="BG77" s="216">
        <v>0</v>
      </c>
      <c r="BH77" s="216">
        <v>0</v>
      </c>
      <c r="BJ77" s="39">
        <f t="shared" si="13"/>
        <v>0</v>
      </c>
      <c r="BK77" s="39"/>
      <c r="BL77" s="39">
        <f t="shared" si="14"/>
        <v>0</v>
      </c>
      <c r="BM77" s="39">
        <f t="shared" si="15"/>
        <v>0</v>
      </c>
      <c r="BN77" s="39"/>
      <c r="BO77" s="209"/>
    </row>
    <row r="78" spans="1:67" ht="11.25" customHeight="1" outlineLevel="1">
      <c r="A78" s="206"/>
      <c r="B78" s="216"/>
      <c r="C78" s="216"/>
      <c r="D78" s="216"/>
      <c r="E78" s="216"/>
      <c r="F78" s="218"/>
      <c r="G78" s="218"/>
      <c r="H78" s="218"/>
      <c r="I78" s="218"/>
      <c r="J78" s="218"/>
      <c r="K78" s="218"/>
      <c r="L78" s="218"/>
      <c r="M78" s="217"/>
      <c r="N78" s="218"/>
      <c r="R78" s="218"/>
      <c r="S78" s="218"/>
      <c r="U78" s="217"/>
      <c r="X78" s="218"/>
      <c r="Y78" s="218"/>
      <c r="Z78" s="298"/>
      <c r="AA78" s="218"/>
      <c r="AB78" s="218"/>
      <c r="AC78" s="218"/>
      <c r="AD78" s="218"/>
      <c r="AG78" s="218"/>
      <c r="AH78" s="218"/>
      <c r="AJ78" s="218"/>
      <c r="AL78" s="217"/>
      <c r="AM78" s="218"/>
      <c r="AN78" s="218"/>
      <c r="AO78" s="218"/>
      <c r="AX78" s="218"/>
      <c r="BA78" s="218"/>
      <c r="BB78" s="218"/>
      <c r="BC78" s="218"/>
      <c r="BD78" s="218"/>
      <c r="BE78" s="218"/>
      <c r="BF78" s="218"/>
      <c r="BJ78" s="39"/>
      <c r="BK78" s="39"/>
      <c r="BL78" s="39">
        <f t="shared" si="14"/>
        <v>0</v>
      </c>
      <c r="BM78" s="39">
        <f t="shared" si="15"/>
        <v>0</v>
      </c>
      <c r="BN78" s="39"/>
      <c r="BO78" s="209"/>
    </row>
    <row r="79" spans="1:67" ht="11.25" customHeight="1" outlineLevel="1">
      <c r="A79" s="230" t="s">
        <v>242</v>
      </c>
      <c r="B79" s="216"/>
      <c r="C79" s="216"/>
      <c r="D79" s="216"/>
      <c r="E79" s="216"/>
      <c r="F79" s="218"/>
      <c r="G79" s="218"/>
      <c r="H79" s="218"/>
      <c r="I79" s="218"/>
      <c r="J79" s="218"/>
      <c r="K79" s="218"/>
      <c r="L79" s="218"/>
      <c r="M79" s="217"/>
      <c r="N79" s="218"/>
      <c r="R79" s="218"/>
      <c r="S79" s="218"/>
      <c r="U79" s="217"/>
      <c r="X79" s="218"/>
      <c r="Y79" s="218"/>
      <c r="Z79" s="290"/>
      <c r="AA79" s="218"/>
      <c r="AB79" s="218"/>
      <c r="AC79" s="218"/>
      <c r="AD79" s="218"/>
      <c r="AG79" s="218"/>
      <c r="AH79" s="218"/>
      <c r="AJ79" s="218"/>
      <c r="AL79" s="217"/>
      <c r="AM79" s="218"/>
      <c r="AN79" s="218"/>
      <c r="AO79" s="218"/>
      <c r="AX79" s="218"/>
      <c r="BA79" s="218"/>
      <c r="BC79" s="218"/>
      <c r="BD79" s="218"/>
      <c r="BE79" s="218"/>
      <c r="BF79" s="218"/>
      <c r="BJ79" s="39"/>
      <c r="BK79" s="39"/>
      <c r="BL79" s="39">
        <f t="shared" si="14"/>
        <v>0</v>
      </c>
      <c r="BM79" s="39">
        <f t="shared" si="15"/>
        <v>0</v>
      </c>
      <c r="BN79" s="39"/>
      <c r="BO79" s="209"/>
    </row>
    <row r="80" spans="1:67" ht="11.25" customHeight="1" outlineLevel="1">
      <c r="A80" s="206" t="s">
        <v>243</v>
      </c>
      <c r="B80" s="216">
        <v>31047422</v>
      </c>
      <c r="C80" s="216">
        <v>13038658</v>
      </c>
      <c r="D80" s="216">
        <v>0</v>
      </c>
      <c r="E80" s="216">
        <v>0</v>
      </c>
      <c r="F80" s="216">
        <v>43276635</v>
      </c>
      <c r="G80" s="216">
        <v>22804177</v>
      </c>
      <c r="H80" s="216">
        <v>18589248</v>
      </c>
      <c r="I80" s="216">
        <v>13812592</v>
      </c>
      <c r="J80" s="216">
        <v>0</v>
      </c>
      <c r="K80" s="216">
        <v>11516872</v>
      </c>
      <c r="L80" s="216">
        <v>7861654</v>
      </c>
      <c r="M80" s="216">
        <v>4115635</v>
      </c>
      <c r="N80" s="216">
        <v>1519923</v>
      </c>
      <c r="O80" s="216">
        <v>5442211</v>
      </c>
      <c r="P80" s="216">
        <v>10144096</v>
      </c>
      <c r="Q80" s="216">
        <v>2164199</v>
      </c>
      <c r="R80" s="216">
        <v>5512634</v>
      </c>
      <c r="S80" s="216">
        <v>0</v>
      </c>
      <c r="T80" s="216">
        <v>9399584</v>
      </c>
      <c r="U80" s="216">
        <v>10877695</v>
      </c>
      <c r="V80" s="216">
        <v>6400989</v>
      </c>
      <c r="W80" s="216">
        <v>85717</v>
      </c>
      <c r="X80" s="216">
        <v>4359628</v>
      </c>
      <c r="Y80" s="216">
        <v>9115467</v>
      </c>
      <c r="Z80" s="298">
        <v>4638024</v>
      </c>
      <c r="AA80" s="216">
        <v>5104177</v>
      </c>
      <c r="AB80" s="216">
        <v>8561055.469</v>
      </c>
      <c r="AC80" s="216">
        <v>607702</v>
      </c>
      <c r="AD80" s="216">
        <v>2327317</v>
      </c>
      <c r="AE80" s="216">
        <v>5707053</v>
      </c>
      <c r="AF80" s="216">
        <v>723907.61</v>
      </c>
      <c r="AG80" s="216">
        <v>3109885</v>
      </c>
      <c r="AH80" s="216">
        <v>251971</v>
      </c>
      <c r="AI80" s="216">
        <v>1221334</v>
      </c>
      <c r="AJ80" s="216">
        <v>3721835</v>
      </c>
      <c r="AK80" s="216">
        <v>463482.867</v>
      </c>
      <c r="AL80" s="216">
        <v>2909041</v>
      </c>
      <c r="AM80" s="216">
        <v>772583</v>
      </c>
      <c r="AN80" s="216">
        <v>15538</v>
      </c>
      <c r="AO80" s="216">
        <v>347020</v>
      </c>
      <c r="AP80" s="216">
        <v>1060885</v>
      </c>
      <c r="AQ80" s="216">
        <v>1493986</v>
      </c>
      <c r="AR80" s="216">
        <v>1024527</v>
      </c>
      <c r="AS80" s="216">
        <v>108749</v>
      </c>
      <c r="AT80" s="216">
        <v>246470</v>
      </c>
      <c r="AU80" s="216">
        <v>29648.568</v>
      </c>
      <c r="AV80" s="216">
        <v>1184201</v>
      </c>
      <c r="AW80" s="216">
        <v>479135</v>
      </c>
      <c r="AX80" s="216">
        <v>590834</v>
      </c>
      <c r="AY80" s="216">
        <v>430953</v>
      </c>
      <c r="AZ80" s="39">
        <v>14579</v>
      </c>
      <c r="BA80" s="216">
        <v>254856</v>
      </c>
      <c r="BB80" s="216">
        <v>439540</v>
      </c>
      <c r="BC80" s="216">
        <v>0</v>
      </c>
      <c r="BD80" s="216">
        <v>126875</v>
      </c>
      <c r="BE80" s="216">
        <v>69368</v>
      </c>
      <c r="BF80" s="216">
        <v>0</v>
      </c>
      <c r="BG80" s="216">
        <v>10000</v>
      </c>
      <c r="BH80" s="216">
        <v>0</v>
      </c>
      <c r="BJ80" s="39">
        <f aca="true" t="shared" si="16" ref="BJ80:BJ87">SUM(B80:BH80)</f>
        <v>279131568.51400006</v>
      </c>
      <c r="BK80" s="39"/>
      <c r="BL80" s="39">
        <f t="shared" si="14"/>
        <v>42019792</v>
      </c>
      <c r="BM80" s="39">
        <f t="shared" si="15"/>
        <v>237111776.51400003</v>
      </c>
      <c r="BN80" s="39"/>
      <c r="BO80" s="209"/>
    </row>
    <row r="81" spans="1:67" ht="11.25" customHeight="1" outlineLevel="1">
      <c r="A81" s="206" t="s">
        <v>244</v>
      </c>
      <c r="B81" s="216">
        <v>58596846</v>
      </c>
      <c r="C81" s="216">
        <v>14123034</v>
      </c>
      <c r="D81" s="216">
        <v>0</v>
      </c>
      <c r="E81" s="216">
        <v>0</v>
      </c>
      <c r="F81" s="216">
        <v>52128402</v>
      </c>
      <c r="G81" s="216">
        <v>30198070</v>
      </c>
      <c r="H81" s="216">
        <v>32661909</v>
      </c>
      <c r="I81" s="216">
        <v>25027060</v>
      </c>
      <c r="J81" s="216">
        <v>0</v>
      </c>
      <c r="K81" s="216">
        <v>16669918</v>
      </c>
      <c r="L81" s="216">
        <v>18373583</v>
      </c>
      <c r="M81" s="216">
        <v>363483</v>
      </c>
      <c r="N81" s="216">
        <v>1480474</v>
      </c>
      <c r="O81" s="216">
        <v>9892530</v>
      </c>
      <c r="P81" s="216">
        <v>6133192</v>
      </c>
      <c r="Q81" s="216">
        <v>1368004</v>
      </c>
      <c r="R81" s="216">
        <v>10153080</v>
      </c>
      <c r="S81" s="216">
        <v>0</v>
      </c>
      <c r="T81" s="216">
        <v>3607705</v>
      </c>
      <c r="U81" s="216">
        <v>2381879</v>
      </c>
      <c r="V81" s="216">
        <v>7311584</v>
      </c>
      <c r="W81" s="216">
        <v>116275</v>
      </c>
      <c r="X81" s="216">
        <v>4202125</v>
      </c>
      <c r="Y81" s="216">
        <v>2301128</v>
      </c>
      <c r="Z81" s="298">
        <v>6522875</v>
      </c>
      <c r="AA81" s="216">
        <v>6337596</v>
      </c>
      <c r="AB81" s="216">
        <v>2463420.545</v>
      </c>
      <c r="AC81" s="216">
        <v>588754</v>
      </c>
      <c r="AD81" s="216">
        <v>6772447</v>
      </c>
      <c r="AE81" s="216">
        <v>1851973</v>
      </c>
      <c r="AF81" s="216">
        <v>0</v>
      </c>
      <c r="AG81" s="216">
        <v>2022675</v>
      </c>
      <c r="AH81" s="216">
        <v>163882</v>
      </c>
      <c r="AI81" s="216">
        <v>5627469</v>
      </c>
      <c r="AJ81" s="216">
        <v>1708221</v>
      </c>
      <c r="AK81" s="216">
        <v>0</v>
      </c>
      <c r="AL81" s="216">
        <v>330770</v>
      </c>
      <c r="AM81" s="216">
        <v>1638694</v>
      </c>
      <c r="AN81" s="216">
        <v>169370</v>
      </c>
      <c r="AO81" s="216">
        <v>1104498</v>
      </c>
      <c r="AP81" s="216">
        <v>533897</v>
      </c>
      <c r="AQ81" s="216">
        <v>696973</v>
      </c>
      <c r="AR81" s="216">
        <v>164794</v>
      </c>
      <c r="AS81" s="216">
        <v>0</v>
      </c>
      <c r="AT81" s="216">
        <v>1147258</v>
      </c>
      <c r="AU81" s="216">
        <v>855928.449</v>
      </c>
      <c r="AV81" s="216">
        <v>140384</v>
      </c>
      <c r="AW81" s="216">
        <v>549209</v>
      </c>
      <c r="AX81" s="216">
        <v>283514</v>
      </c>
      <c r="AY81" s="216">
        <v>232532</v>
      </c>
      <c r="AZ81" s="39">
        <v>256482</v>
      </c>
      <c r="BA81" s="216">
        <v>124561</v>
      </c>
      <c r="BB81" s="216">
        <v>48885</v>
      </c>
      <c r="BC81" s="216">
        <v>377522.41</v>
      </c>
      <c r="BD81" s="216">
        <v>181325</v>
      </c>
      <c r="BE81" s="216">
        <v>85414</v>
      </c>
      <c r="BF81" s="216">
        <v>17443</v>
      </c>
      <c r="BG81" s="216">
        <v>2450</v>
      </c>
      <c r="BH81" s="216">
        <v>8005</v>
      </c>
      <c r="BJ81" s="39">
        <f t="shared" si="16"/>
        <v>340099502.40400004</v>
      </c>
      <c r="BK81" s="39"/>
      <c r="BL81" s="39">
        <f t="shared" si="14"/>
        <v>68764583</v>
      </c>
      <c r="BM81" s="39">
        <f t="shared" si="15"/>
        <v>271334919.404</v>
      </c>
      <c r="BN81" s="39"/>
      <c r="BO81" s="209"/>
    </row>
    <row r="82" spans="1:67" ht="11.25" customHeight="1" outlineLevel="1">
      <c r="A82" s="39" t="s">
        <v>245</v>
      </c>
      <c r="B82" s="216">
        <v>18345747</v>
      </c>
      <c r="C82" s="216">
        <v>7581394</v>
      </c>
      <c r="D82" s="216">
        <v>75164</v>
      </c>
      <c r="E82" s="216">
        <v>0</v>
      </c>
      <c r="F82" s="216">
        <v>21917171</v>
      </c>
      <c r="G82" s="216">
        <v>8695935</v>
      </c>
      <c r="H82" s="216">
        <v>4042289</v>
      </c>
      <c r="I82" s="216">
        <v>11435954</v>
      </c>
      <c r="J82" s="216">
        <v>0</v>
      </c>
      <c r="K82" s="216">
        <f>1306206-49926</f>
        <v>1256280</v>
      </c>
      <c r="L82" s="216">
        <v>1182953</v>
      </c>
      <c r="M82" s="216">
        <v>284469</v>
      </c>
      <c r="N82" s="216">
        <v>0</v>
      </c>
      <c r="O82" s="216">
        <v>6605293</v>
      </c>
      <c r="P82" s="216">
        <v>1441703</v>
      </c>
      <c r="Q82" s="216">
        <v>877142</v>
      </c>
      <c r="R82" s="216">
        <v>3972953</v>
      </c>
      <c r="S82" s="216">
        <v>0</v>
      </c>
      <c r="T82" s="216">
        <v>1309867</v>
      </c>
      <c r="U82" s="216">
        <v>2281921</v>
      </c>
      <c r="V82" s="216">
        <v>639448</v>
      </c>
      <c r="W82" s="216">
        <v>2503</v>
      </c>
      <c r="X82" s="216">
        <v>3861762</v>
      </c>
      <c r="Y82" s="216">
        <v>1364356</v>
      </c>
      <c r="Z82" s="298">
        <v>1657168</v>
      </c>
      <c r="AA82" s="216">
        <v>1080</v>
      </c>
      <c r="AB82" s="216">
        <v>755072.77</v>
      </c>
      <c r="AC82" s="216">
        <f>2341342</f>
        <v>2341342</v>
      </c>
      <c r="AD82" s="216">
        <v>10000</v>
      </c>
      <c r="AE82" s="216">
        <v>1356310</v>
      </c>
      <c r="AF82" s="216">
        <v>0</v>
      </c>
      <c r="AG82" s="216">
        <v>1153546</v>
      </c>
      <c r="AH82" s="216">
        <v>93463</v>
      </c>
      <c r="AI82" s="216">
        <v>466858</v>
      </c>
      <c r="AJ82" s="216">
        <v>643088</v>
      </c>
      <c r="AK82" s="216">
        <v>0</v>
      </c>
      <c r="AL82" s="216">
        <v>0</v>
      </c>
      <c r="AM82" s="216">
        <v>126064</v>
      </c>
      <c r="AN82" s="216">
        <v>5246</v>
      </c>
      <c r="AO82" s="216">
        <v>1277</v>
      </c>
      <c r="AP82" s="216">
        <v>59400</v>
      </c>
      <c r="AQ82" s="216">
        <v>47922</v>
      </c>
      <c r="AR82" s="216">
        <v>385250</v>
      </c>
      <c r="AS82" s="216">
        <v>0</v>
      </c>
      <c r="AT82" s="216">
        <v>0</v>
      </c>
      <c r="AU82" s="216">
        <v>90445.789</v>
      </c>
      <c r="AV82" s="216">
        <v>34163</v>
      </c>
      <c r="AW82" s="216">
        <v>130441</v>
      </c>
      <c r="AX82" s="216"/>
      <c r="AY82" s="216">
        <v>333</v>
      </c>
      <c r="AZ82" s="39">
        <v>33958</v>
      </c>
      <c r="BA82" s="216">
        <v>101849</v>
      </c>
      <c r="BB82" s="216">
        <v>2815</v>
      </c>
      <c r="BC82" s="216">
        <v>33474.849</v>
      </c>
      <c r="BD82" s="216">
        <v>9806</v>
      </c>
      <c r="BE82" s="216">
        <v>6254</v>
      </c>
      <c r="BF82" s="216">
        <v>37384</v>
      </c>
      <c r="BG82" s="216">
        <v>4106</v>
      </c>
      <c r="BH82" s="216">
        <v>0</v>
      </c>
      <c r="BJ82" s="39">
        <f t="shared" si="16"/>
        <v>106762420.408</v>
      </c>
      <c r="BK82" s="39"/>
      <c r="BL82" s="39">
        <f t="shared" si="14"/>
        <v>23099757</v>
      </c>
      <c r="BM82" s="39">
        <f t="shared" si="15"/>
        <v>83662663.408</v>
      </c>
      <c r="BN82" s="39"/>
      <c r="BO82" s="209"/>
    </row>
    <row r="83" spans="1:67" ht="11.25" customHeight="1" outlineLevel="1">
      <c r="A83" s="39" t="s">
        <v>246</v>
      </c>
      <c r="B83" s="216">
        <v>0</v>
      </c>
      <c r="C83" s="216">
        <v>0</v>
      </c>
      <c r="D83" s="216">
        <v>0</v>
      </c>
      <c r="E83" s="216">
        <v>0</v>
      </c>
      <c r="F83" s="216">
        <v>0</v>
      </c>
      <c r="G83" s="216">
        <v>71840</v>
      </c>
      <c r="H83" s="216">
        <v>0</v>
      </c>
      <c r="I83" s="216">
        <v>0</v>
      </c>
      <c r="J83" s="216">
        <v>0</v>
      </c>
      <c r="K83" s="216">
        <v>36223</v>
      </c>
      <c r="L83" s="216">
        <v>0</v>
      </c>
      <c r="M83" s="216">
        <v>0</v>
      </c>
      <c r="N83" s="216">
        <v>0</v>
      </c>
      <c r="O83" s="216">
        <v>61449</v>
      </c>
      <c r="P83" s="216">
        <v>0</v>
      </c>
      <c r="Q83" s="216">
        <v>0</v>
      </c>
      <c r="R83" s="216">
        <v>40467</v>
      </c>
      <c r="S83" s="216">
        <v>0</v>
      </c>
      <c r="T83" s="216">
        <v>0</v>
      </c>
      <c r="U83" s="216">
        <v>0</v>
      </c>
      <c r="V83" s="216">
        <v>23250</v>
      </c>
      <c r="W83" s="216">
        <v>0</v>
      </c>
      <c r="X83" s="216">
        <v>0</v>
      </c>
      <c r="Y83" s="216">
        <v>2533</v>
      </c>
      <c r="Z83" s="298">
        <v>0</v>
      </c>
      <c r="AA83" s="216">
        <v>0</v>
      </c>
      <c r="AB83" s="216">
        <v>701755.913</v>
      </c>
      <c r="AC83" s="216">
        <v>0</v>
      </c>
      <c r="AD83" s="216">
        <v>0</v>
      </c>
      <c r="AE83" s="216">
        <v>0</v>
      </c>
      <c r="AF83" s="216">
        <v>0</v>
      </c>
      <c r="AG83" s="216">
        <v>0</v>
      </c>
      <c r="AH83" s="216">
        <v>0</v>
      </c>
      <c r="AI83" s="216">
        <v>0</v>
      </c>
      <c r="AJ83" s="216">
        <v>0</v>
      </c>
      <c r="AK83" s="216">
        <v>0</v>
      </c>
      <c r="AL83" s="216">
        <v>0</v>
      </c>
      <c r="AM83" s="216">
        <v>0</v>
      </c>
      <c r="AN83" s="216">
        <v>0</v>
      </c>
      <c r="AO83" s="216">
        <v>0</v>
      </c>
      <c r="AP83" s="216">
        <v>0</v>
      </c>
      <c r="AQ83" s="216">
        <v>5708</v>
      </c>
      <c r="AR83" s="216">
        <v>0</v>
      </c>
      <c r="AS83" s="216">
        <v>0</v>
      </c>
      <c r="AT83" s="216">
        <v>0</v>
      </c>
      <c r="AU83" s="216">
        <v>0</v>
      </c>
      <c r="AV83" s="216">
        <v>0</v>
      </c>
      <c r="AW83" s="216">
        <v>0</v>
      </c>
      <c r="AX83" s="216">
        <v>0</v>
      </c>
      <c r="AY83" s="216">
        <v>0</v>
      </c>
      <c r="AZ83" s="216">
        <v>0</v>
      </c>
      <c r="BA83" s="216">
        <v>0</v>
      </c>
      <c r="BB83" s="216">
        <v>0</v>
      </c>
      <c r="BC83" s="216">
        <v>0</v>
      </c>
      <c r="BD83" s="216">
        <v>0</v>
      </c>
      <c r="BE83" s="216">
        <v>0</v>
      </c>
      <c r="BF83" s="216">
        <v>0</v>
      </c>
      <c r="BG83" s="216">
        <v>0</v>
      </c>
      <c r="BH83" s="216">
        <v>0</v>
      </c>
      <c r="BJ83" s="39">
        <f t="shared" si="16"/>
        <v>943225.913</v>
      </c>
      <c r="BK83" s="39"/>
      <c r="BL83" s="39">
        <f t="shared" si="14"/>
        <v>0</v>
      </c>
      <c r="BM83" s="39">
        <f t="shared" si="15"/>
        <v>943225.913</v>
      </c>
      <c r="BN83" s="39"/>
      <c r="BO83" s="209"/>
    </row>
    <row r="84" spans="1:67" ht="11.25" customHeight="1" outlineLevel="1">
      <c r="A84" s="206" t="s">
        <v>247</v>
      </c>
      <c r="B84" s="216">
        <v>0</v>
      </c>
      <c r="C84" s="216">
        <v>0</v>
      </c>
      <c r="D84" s="216">
        <v>0</v>
      </c>
      <c r="E84" s="216">
        <v>0</v>
      </c>
      <c r="F84" s="216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1123007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216">
        <v>182895</v>
      </c>
      <c r="S84" s="216">
        <v>0</v>
      </c>
      <c r="T84" s="216">
        <v>0</v>
      </c>
      <c r="U84" s="216">
        <v>0</v>
      </c>
      <c r="V84" s="216">
        <v>0</v>
      </c>
      <c r="W84" s="216">
        <v>0</v>
      </c>
      <c r="X84" s="216">
        <v>1710656</v>
      </c>
      <c r="Y84" s="216">
        <v>517012</v>
      </c>
      <c r="Z84" s="298">
        <v>0</v>
      </c>
      <c r="AA84" s="216">
        <v>1032639</v>
      </c>
      <c r="AB84" s="216">
        <v>122728.426</v>
      </c>
      <c r="AC84" s="216">
        <v>0</v>
      </c>
      <c r="AD84" s="216">
        <v>283515</v>
      </c>
      <c r="AE84" s="216">
        <v>0</v>
      </c>
      <c r="AF84" s="216">
        <v>0</v>
      </c>
      <c r="AG84" s="216">
        <v>254175</v>
      </c>
      <c r="AH84" s="216">
        <v>20594</v>
      </c>
      <c r="AI84" s="216">
        <v>0</v>
      </c>
      <c r="AJ84" s="216">
        <v>133972</v>
      </c>
      <c r="AK84" s="216">
        <v>0</v>
      </c>
      <c r="AL84" s="216">
        <v>0</v>
      </c>
      <c r="AM84" s="216">
        <v>0</v>
      </c>
      <c r="AN84" s="216">
        <v>0</v>
      </c>
      <c r="AO84" s="216">
        <v>0</v>
      </c>
      <c r="AP84" s="216">
        <v>586117</v>
      </c>
      <c r="AQ84" s="216">
        <v>0</v>
      </c>
      <c r="AR84" s="216">
        <v>0</v>
      </c>
      <c r="AS84" s="216">
        <v>0</v>
      </c>
      <c r="AT84" s="216">
        <v>21849</v>
      </c>
      <c r="AU84" s="216">
        <v>437461.956</v>
      </c>
      <c r="AV84" s="216">
        <v>0</v>
      </c>
      <c r="AW84" s="216">
        <v>0</v>
      </c>
      <c r="AX84" s="216">
        <v>0</v>
      </c>
      <c r="AY84" s="216">
        <v>0</v>
      </c>
      <c r="AZ84" s="39">
        <v>291308</v>
      </c>
      <c r="BA84" s="216">
        <v>0</v>
      </c>
      <c r="BB84" s="216">
        <v>0</v>
      </c>
      <c r="BC84" s="216">
        <v>0</v>
      </c>
      <c r="BD84" s="216">
        <v>40607</v>
      </c>
      <c r="BE84" s="216">
        <v>31411</v>
      </c>
      <c r="BF84" s="216">
        <v>0</v>
      </c>
      <c r="BG84" s="216">
        <v>0</v>
      </c>
      <c r="BH84" s="216">
        <v>0</v>
      </c>
      <c r="BJ84" s="39">
        <f t="shared" si="16"/>
        <v>6789947.382</v>
      </c>
      <c r="BK84" s="39"/>
      <c r="BL84" s="39">
        <f t="shared" si="14"/>
        <v>93867</v>
      </c>
      <c r="BM84" s="39">
        <f t="shared" si="15"/>
        <v>6696080.382</v>
      </c>
      <c r="BN84" s="39"/>
      <c r="BO84" s="209"/>
    </row>
    <row r="85" spans="1:67" ht="11.25" customHeight="1" outlineLevel="1">
      <c r="A85" s="39" t="s">
        <v>242</v>
      </c>
      <c r="B85" s="216">
        <v>4801</v>
      </c>
      <c r="C85" s="216">
        <v>0</v>
      </c>
      <c r="D85" s="216">
        <v>0</v>
      </c>
      <c r="E85" s="216">
        <v>0</v>
      </c>
      <c r="F85" s="216">
        <v>0</v>
      </c>
      <c r="G85" s="216">
        <v>38000</v>
      </c>
      <c r="H85" s="216">
        <v>1433</v>
      </c>
      <c r="I85" s="216">
        <v>23416</v>
      </c>
      <c r="J85" s="216">
        <v>0</v>
      </c>
      <c r="K85" s="216">
        <v>306503</v>
      </c>
      <c r="L85" s="216">
        <v>0</v>
      </c>
      <c r="M85" s="216">
        <v>0</v>
      </c>
      <c r="N85" s="216">
        <v>0</v>
      </c>
      <c r="O85" s="216">
        <v>67954</v>
      </c>
      <c r="P85" s="216">
        <v>0</v>
      </c>
      <c r="Q85" s="216">
        <v>0</v>
      </c>
      <c r="R85" s="216">
        <f>57466-1499043-1038827</f>
        <v>-2480404</v>
      </c>
      <c r="S85" s="216">
        <v>1499043</v>
      </c>
      <c r="T85" s="216">
        <v>801881</v>
      </c>
      <c r="U85" s="216">
        <v>1336</v>
      </c>
      <c r="V85" s="216">
        <v>0</v>
      </c>
      <c r="W85" s="216">
        <v>0</v>
      </c>
      <c r="X85" s="216">
        <v>0</v>
      </c>
      <c r="Y85" s="216">
        <v>2851</v>
      </c>
      <c r="Z85" s="298">
        <v>0</v>
      </c>
      <c r="AA85" s="216">
        <v>160360</v>
      </c>
      <c r="AB85" s="216">
        <v>0</v>
      </c>
      <c r="AC85" s="216">
        <v>0</v>
      </c>
      <c r="AD85" s="216">
        <v>0</v>
      </c>
      <c r="AE85" s="216">
        <v>0</v>
      </c>
      <c r="AF85" s="216">
        <v>0</v>
      </c>
      <c r="AG85" s="216">
        <v>0</v>
      </c>
      <c r="AH85" s="216">
        <v>0</v>
      </c>
      <c r="AI85" s="216">
        <v>0</v>
      </c>
      <c r="AJ85" s="216">
        <v>0</v>
      </c>
      <c r="AK85" s="216">
        <v>0</v>
      </c>
      <c r="AL85" s="216">
        <v>0</v>
      </c>
      <c r="AM85" s="216">
        <v>0</v>
      </c>
      <c r="AN85" s="216">
        <v>0</v>
      </c>
      <c r="AO85" s="216">
        <v>0</v>
      </c>
      <c r="AP85" s="216">
        <v>0</v>
      </c>
      <c r="AQ85" s="216">
        <v>0</v>
      </c>
      <c r="AR85" s="216">
        <v>0</v>
      </c>
      <c r="AS85" s="216">
        <v>0</v>
      </c>
      <c r="AT85" s="216">
        <v>0</v>
      </c>
      <c r="AU85" s="216">
        <v>0</v>
      </c>
      <c r="AV85" s="216">
        <v>0</v>
      </c>
      <c r="AW85" s="216">
        <v>0</v>
      </c>
      <c r="AX85" s="216">
        <v>0</v>
      </c>
      <c r="AY85" s="216">
        <v>0</v>
      </c>
      <c r="AZ85" s="216">
        <v>0</v>
      </c>
      <c r="BA85" s="216">
        <v>0</v>
      </c>
      <c r="BB85" s="216">
        <v>0</v>
      </c>
      <c r="BC85" s="216">
        <v>0</v>
      </c>
      <c r="BD85" s="216">
        <v>0</v>
      </c>
      <c r="BE85" s="216">
        <v>0</v>
      </c>
      <c r="BF85" s="216">
        <v>0</v>
      </c>
      <c r="BG85" s="216">
        <v>0</v>
      </c>
      <c r="BH85" s="216">
        <v>0</v>
      </c>
      <c r="BJ85" s="39">
        <f t="shared" si="16"/>
        <v>427174</v>
      </c>
      <c r="BK85" s="39"/>
      <c r="BL85" s="39">
        <f t="shared" si="14"/>
        <v>4801</v>
      </c>
      <c r="BM85" s="39">
        <f t="shared" si="15"/>
        <v>422373</v>
      </c>
      <c r="BN85" s="39"/>
      <c r="BO85" s="209"/>
    </row>
    <row r="86" spans="1:67" ht="11.25" customHeight="1" outlineLevel="1">
      <c r="A86" s="290" t="s">
        <v>248</v>
      </c>
      <c r="B86" s="216">
        <f>SUM(B80:B85)</f>
        <v>107994816</v>
      </c>
      <c r="C86" s="216">
        <f aca="true" t="shared" si="17" ref="C86:BH86">SUM(C80:C85)</f>
        <v>34743086</v>
      </c>
      <c r="D86" s="216">
        <f t="shared" si="17"/>
        <v>75164</v>
      </c>
      <c r="E86" s="216">
        <f t="shared" si="17"/>
        <v>0</v>
      </c>
      <c r="F86" s="216">
        <f t="shared" si="17"/>
        <v>117322208</v>
      </c>
      <c r="G86" s="216">
        <f t="shared" si="17"/>
        <v>61808022</v>
      </c>
      <c r="H86" s="216">
        <f t="shared" si="17"/>
        <v>55294879</v>
      </c>
      <c r="I86" s="216">
        <f t="shared" si="17"/>
        <v>50299022</v>
      </c>
      <c r="J86" s="216">
        <f t="shared" si="17"/>
        <v>0</v>
      </c>
      <c r="K86" s="216">
        <f t="shared" si="17"/>
        <v>30908803</v>
      </c>
      <c r="L86" s="216">
        <f t="shared" si="17"/>
        <v>27418190</v>
      </c>
      <c r="M86" s="216">
        <f t="shared" si="17"/>
        <v>4763587</v>
      </c>
      <c r="N86" s="216">
        <f t="shared" si="17"/>
        <v>3000397</v>
      </c>
      <c r="O86" s="216">
        <f t="shared" si="17"/>
        <v>22069437</v>
      </c>
      <c r="P86" s="216">
        <f t="shared" si="17"/>
        <v>17718991</v>
      </c>
      <c r="Q86" s="216">
        <f t="shared" si="17"/>
        <v>4409345</v>
      </c>
      <c r="R86" s="216">
        <f t="shared" si="17"/>
        <v>17381625</v>
      </c>
      <c r="S86" s="216">
        <f t="shared" si="17"/>
        <v>1499043</v>
      </c>
      <c r="T86" s="216">
        <f t="shared" si="17"/>
        <v>15119037</v>
      </c>
      <c r="U86" s="216">
        <f t="shared" si="17"/>
        <v>15542831</v>
      </c>
      <c r="V86" s="216">
        <f t="shared" si="17"/>
        <v>14375271</v>
      </c>
      <c r="W86" s="216">
        <f t="shared" si="17"/>
        <v>204495</v>
      </c>
      <c r="X86" s="216">
        <f t="shared" si="17"/>
        <v>14134171</v>
      </c>
      <c r="Y86" s="216">
        <f t="shared" si="17"/>
        <v>13303347</v>
      </c>
      <c r="Z86" s="216">
        <f t="shared" si="17"/>
        <v>12818067</v>
      </c>
      <c r="AA86" s="216">
        <f t="shared" si="17"/>
        <v>12635852</v>
      </c>
      <c r="AB86" s="216">
        <f t="shared" si="17"/>
        <v>12604033.123000002</v>
      </c>
      <c r="AC86" s="216">
        <f t="shared" si="17"/>
        <v>3537798</v>
      </c>
      <c r="AD86" s="216">
        <f t="shared" si="17"/>
        <v>9393279</v>
      </c>
      <c r="AE86" s="216">
        <f t="shared" si="17"/>
        <v>8915336</v>
      </c>
      <c r="AF86" s="216">
        <f t="shared" si="17"/>
        <v>723907.61</v>
      </c>
      <c r="AG86" s="216">
        <f t="shared" si="17"/>
        <v>6540281</v>
      </c>
      <c r="AH86" s="216">
        <f t="shared" si="17"/>
        <v>529910</v>
      </c>
      <c r="AI86" s="216">
        <f t="shared" si="17"/>
        <v>7315661</v>
      </c>
      <c r="AJ86" s="216">
        <f t="shared" si="17"/>
        <v>6207116</v>
      </c>
      <c r="AK86" s="216">
        <f t="shared" si="17"/>
        <v>463482.867</v>
      </c>
      <c r="AL86" s="216">
        <f t="shared" si="17"/>
        <v>3239811</v>
      </c>
      <c r="AM86" s="216">
        <f t="shared" si="17"/>
        <v>2537341</v>
      </c>
      <c r="AN86" s="216">
        <f t="shared" si="17"/>
        <v>190154</v>
      </c>
      <c r="AO86" s="216">
        <f t="shared" si="17"/>
        <v>1452795</v>
      </c>
      <c r="AP86" s="216">
        <f t="shared" si="17"/>
        <v>2240299</v>
      </c>
      <c r="AQ86" s="216">
        <f t="shared" si="17"/>
        <v>2244589</v>
      </c>
      <c r="AR86" s="216">
        <f t="shared" si="17"/>
        <v>1574571</v>
      </c>
      <c r="AS86" s="216">
        <f t="shared" si="17"/>
        <v>108749</v>
      </c>
      <c r="AT86" s="216">
        <f t="shared" si="17"/>
        <v>1415577</v>
      </c>
      <c r="AU86" s="216">
        <f t="shared" si="17"/>
        <v>1413484.762</v>
      </c>
      <c r="AV86" s="216">
        <f t="shared" si="17"/>
        <v>1358748</v>
      </c>
      <c r="AW86" s="216">
        <f t="shared" si="17"/>
        <v>1158785</v>
      </c>
      <c r="AX86" s="216">
        <f t="shared" si="17"/>
        <v>874348</v>
      </c>
      <c r="AY86" s="216">
        <f t="shared" si="17"/>
        <v>663818</v>
      </c>
      <c r="AZ86" s="216">
        <f t="shared" si="17"/>
        <v>596327</v>
      </c>
      <c r="BA86" s="216">
        <f t="shared" si="17"/>
        <v>481266</v>
      </c>
      <c r="BB86" s="216">
        <f t="shared" si="17"/>
        <v>491240</v>
      </c>
      <c r="BC86" s="216">
        <f t="shared" si="17"/>
        <v>410997.25899999996</v>
      </c>
      <c r="BD86" s="216">
        <f t="shared" si="17"/>
        <v>358613</v>
      </c>
      <c r="BE86" s="216">
        <f t="shared" si="17"/>
        <v>192447</v>
      </c>
      <c r="BF86" s="216">
        <f t="shared" si="17"/>
        <v>54827</v>
      </c>
      <c r="BG86" s="216">
        <f t="shared" si="17"/>
        <v>16556</v>
      </c>
      <c r="BH86" s="216">
        <f t="shared" si="17"/>
        <v>8005</v>
      </c>
      <c r="BJ86" s="39">
        <f t="shared" si="16"/>
        <v>734153838.6209999</v>
      </c>
      <c r="BK86" s="39"/>
      <c r="BL86" s="39">
        <f t="shared" si="14"/>
        <v>133982800</v>
      </c>
      <c r="BM86" s="39">
        <f t="shared" si="15"/>
        <v>600171038.6209999</v>
      </c>
      <c r="BN86" s="39"/>
      <c r="BO86" s="209"/>
    </row>
    <row r="87" spans="1:67" ht="11.25" customHeight="1">
      <c r="A87" s="212" t="s">
        <v>249</v>
      </c>
      <c r="B87" s="216">
        <f>SUM(B72:B85)</f>
        <v>108063493</v>
      </c>
      <c r="C87" s="216">
        <f aca="true" t="shared" si="18" ref="C87:BH87">SUM(C72:C85)</f>
        <v>34811763</v>
      </c>
      <c r="D87" s="216">
        <f t="shared" si="18"/>
        <v>75164</v>
      </c>
      <c r="E87" s="216">
        <f t="shared" si="18"/>
        <v>0</v>
      </c>
      <c r="F87" s="216">
        <f t="shared" si="18"/>
        <v>117627630</v>
      </c>
      <c r="G87" s="216">
        <f t="shared" si="18"/>
        <v>62061852</v>
      </c>
      <c r="H87" s="216">
        <f t="shared" si="18"/>
        <v>55378039</v>
      </c>
      <c r="I87" s="216">
        <f t="shared" si="18"/>
        <v>50453850</v>
      </c>
      <c r="J87" s="216">
        <f t="shared" si="18"/>
        <v>0</v>
      </c>
      <c r="K87" s="216">
        <f t="shared" si="18"/>
        <v>31359263</v>
      </c>
      <c r="L87" s="216">
        <f t="shared" si="18"/>
        <v>27418190</v>
      </c>
      <c r="M87" s="216">
        <f t="shared" si="18"/>
        <v>4763587</v>
      </c>
      <c r="N87" s="216">
        <f t="shared" si="18"/>
        <v>3000397</v>
      </c>
      <c r="O87" s="216">
        <f t="shared" si="18"/>
        <v>22141330</v>
      </c>
      <c r="P87" s="216">
        <f t="shared" si="18"/>
        <v>17718991</v>
      </c>
      <c r="Q87" s="216">
        <f t="shared" si="18"/>
        <v>4409345</v>
      </c>
      <c r="R87" s="216">
        <f t="shared" si="18"/>
        <v>17459649</v>
      </c>
      <c r="S87" s="216">
        <f t="shared" si="18"/>
        <v>1499043</v>
      </c>
      <c r="T87" s="216">
        <f t="shared" si="18"/>
        <v>15147232</v>
      </c>
      <c r="U87" s="216">
        <f t="shared" si="18"/>
        <v>15542831</v>
      </c>
      <c r="V87" s="216">
        <f t="shared" si="18"/>
        <v>14412912</v>
      </c>
      <c r="W87" s="216">
        <f t="shared" si="18"/>
        <v>204495</v>
      </c>
      <c r="X87" s="216">
        <f t="shared" si="18"/>
        <v>14134171</v>
      </c>
      <c r="Y87" s="216">
        <f t="shared" si="18"/>
        <v>13303347</v>
      </c>
      <c r="Z87" s="216">
        <f t="shared" si="18"/>
        <v>12833329</v>
      </c>
      <c r="AA87" s="216">
        <f t="shared" si="18"/>
        <v>12701314</v>
      </c>
      <c r="AB87" s="216">
        <f t="shared" si="18"/>
        <v>12604033.123000002</v>
      </c>
      <c r="AC87" s="216">
        <f t="shared" si="18"/>
        <v>3537798</v>
      </c>
      <c r="AD87" s="216">
        <f t="shared" si="18"/>
        <v>9411624</v>
      </c>
      <c r="AE87" s="216">
        <f t="shared" si="18"/>
        <v>8915336</v>
      </c>
      <c r="AF87" s="216">
        <f t="shared" si="18"/>
        <v>723907.61</v>
      </c>
      <c r="AG87" s="216">
        <f t="shared" si="18"/>
        <v>6540281</v>
      </c>
      <c r="AH87" s="216">
        <f t="shared" si="18"/>
        <v>529910</v>
      </c>
      <c r="AI87" s="216">
        <f>SUM(AI72:AI85)</f>
        <v>7315661</v>
      </c>
      <c r="AJ87" s="216">
        <f t="shared" si="18"/>
        <v>6218798</v>
      </c>
      <c r="AK87" s="216">
        <f t="shared" si="18"/>
        <v>463482.867</v>
      </c>
      <c r="AL87" s="216">
        <f t="shared" si="18"/>
        <v>3239811</v>
      </c>
      <c r="AM87" s="216">
        <f>SUM(AM72:AM85)</f>
        <v>2537341</v>
      </c>
      <c r="AN87" s="216">
        <f t="shared" si="18"/>
        <v>190154</v>
      </c>
      <c r="AO87" s="216">
        <f t="shared" si="18"/>
        <v>1462138</v>
      </c>
      <c r="AP87" s="216">
        <f t="shared" si="18"/>
        <v>2240299</v>
      </c>
      <c r="AQ87" s="216">
        <f t="shared" si="18"/>
        <v>2244589</v>
      </c>
      <c r="AR87" s="216">
        <f t="shared" si="18"/>
        <v>1574571</v>
      </c>
      <c r="AS87" s="216">
        <f t="shared" si="18"/>
        <v>108749</v>
      </c>
      <c r="AT87" s="216">
        <f t="shared" si="18"/>
        <v>1415577</v>
      </c>
      <c r="AU87" s="216">
        <f t="shared" si="18"/>
        <v>1413484.762</v>
      </c>
      <c r="AV87" s="216">
        <f t="shared" si="18"/>
        <v>1358748</v>
      </c>
      <c r="AW87" s="216">
        <f t="shared" si="18"/>
        <v>1158785</v>
      </c>
      <c r="AX87" s="216">
        <f t="shared" si="18"/>
        <v>874348</v>
      </c>
      <c r="AY87" s="216">
        <f t="shared" si="18"/>
        <v>663818</v>
      </c>
      <c r="AZ87" s="216">
        <f t="shared" si="18"/>
        <v>596327</v>
      </c>
      <c r="BA87" s="216">
        <f t="shared" si="18"/>
        <v>481266</v>
      </c>
      <c r="BB87" s="216">
        <f t="shared" si="18"/>
        <v>491240</v>
      </c>
      <c r="BC87" s="216">
        <f t="shared" si="18"/>
        <v>410997.25899999996</v>
      </c>
      <c r="BD87" s="216">
        <f t="shared" si="18"/>
        <v>358613</v>
      </c>
      <c r="BE87" s="216">
        <f t="shared" si="18"/>
        <v>192447</v>
      </c>
      <c r="BF87" s="216">
        <f t="shared" si="18"/>
        <v>54827</v>
      </c>
      <c r="BG87" s="216">
        <f t="shared" si="18"/>
        <v>16556</v>
      </c>
      <c r="BH87" s="216">
        <f t="shared" si="18"/>
        <v>8005</v>
      </c>
      <c r="BJ87" s="39">
        <f t="shared" si="16"/>
        <v>735874739.6209999</v>
      </c>
      <c r="BK87" s="39"/>
      <c r="BL87" s="39">
        <f t="shared" si="14"/>
        <v>134066739</v>
      </c>
      <c r="BM87" s="39">
        <f t="shared" si="15"/>
        <v>601808000.6209999</v>
      </c>
      <c r="BN87" s="39"/>
      <c r="BO87" s="209"/>
    </row>
    <row r="88" spans="1:67" ht="11.25" customHeight="1">
      <c r="A88" s="212"/>
      <c r="B88" s="216"/>
      <c r="C88" s="216"/>
      <c r="D88" s="216"/>
      <c r="E88" s="216"/>
      <c r="F88" s="39"/>
      <c r="G88" s="39"/>
      <c r="H88" s="39"/>
      <c r="I88" s="39"/>
      <c r="J88" s="39"/>
      <c r="K88" s="39"/>
      <c r="L88" s="39"/>
      <c r="M88" s="39"/>
      <c r="N88" s="216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297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218"/>
      <c r="BC88" s="39"/>
      <c r="BD88" s="39"/>
      <c r="BE88" s="39"/>
      <c r="BF88" s="39"/>
      <c r="BG88" s="39"/>
      <c r="BH88" s="39"/>
      <c r="BJ88" s="39"/>
      <c r="BK88" s="39"/>
      <c r="BL88" s="39"/>
      <c r="BM88" s="39"/>
      <c r="BN88" s="39"/>
      <c r="BO88" s="209"/>
    </row>
    <row r="89" spans="1:67" ht="11.25" customHeight="1" outlineLevel="1">
      <c r="A89" s="212" t="s">
        <v>250</v>
      </c>
      <c r="B89" s="216"/>
      <c r="C89" s="216"/>
      <c r="D89" s="216"/>
      <c r="E89" s="216"/>
      <c r="F89" s="218"/>
      <c r="G89" s="218"/>
      <c r="H89" s="218"/>
      <c r="I89" s="218"/>
      <c r="J89" s="218"/>
      <c r="K89" s="218"/>
      <c r="L89" s="218"/>
      <c r="M89" s="217"/>
      <c r="N89" s="216"/>
      <c r="P89" s="218"/>
      <c r="Q89" s="218"/>
      <c r="R89" s="218"/>
      <c r="S89" s="218"/>
      <c r="U89" s="217"/>
      <c r="X89" s="218"/>
      <c r="Y89" s="218"/>
      <c r="Z89" s="297"/>
      <c r="AA89" s="218"/>
      <c r="AB89" s="218"/>
      <c r="AC89" s="218"/>
      <c r="AD89" s="218"/>
      <c r="AE89" s="218"/>
      <c r="AF89" s="218"/>
      <c r="AG89" s="218"/>
      <c r="AH89" s="218"/>
      <c r="AJ89" s="218"/>
      <c r="AL89" s="217"/>
      <c r="AM89" s="218"/>
      <c r="AN89" s="218"/>
      <c r="AO89" s="218"/>
      <c r="AP89" s="218"/>
      <c r="AQ89" s="218"/>
      <c r="AR89" s="218"/>
      <c r="AS89" s="218"/>
      <c r="AV89" s="218"/>
      <c r="AX89" s="218"/>
      <c r="AY89" s="218"/>
      <c r="BA89" s="218"/>
      <c r="BB89" s="216"/>
      <c r="BC89" s="218"/>
      <c r="BD89" s="218"/>
      <c r="BE89" s="218"/>
      <c r="BF89" s="218"/>
      <c r="BJ89" s="39"/>
      <c r="BK89" s="39"/>
      <c r="BL89" s="39"/>
      <c r="BM89" s="39"/>
      <c r="BN89" s="39"/>
      <c r="BO89" s="209"/>
    </row>
    <row r="90" spans="1:67" ht="11.25" customHeight="1" outlineLevel="1">
      <c r="A90" s="206" t="s">
        <v>251</v>
      </c>
      <c r="B90" s="216">
        <v>0</v>
      </c>
      <c r="C90" s="216">
        <v>0</v>
      </c>
      <c r="D90" s="216">
        <v>0</v>
      </c>
      <c r="E90" s="216">
        <v>0</v>
      </c>
      <c r="F90" s="216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6">
        <v>0</v>
      </c>
      <c r="O90" s="216">
        <v>0</v>
      </c>
      <c r="P90" s="216">
        <v>0</v>
      </c>
      <c r="Q90" s="216">
        <v>0</v>
      </c>
      <c r="R90" s="216">
        <v>0</v>
      </c>
      <c r="S90" s="216">
        <v>0</v>
      </c>
      <c r="T90" s="216">
        <v>0</v>
      </c>
      <c r="U90" s="216">
        <v>0</v>
      </c>
      <c r="V90" s="216">
        <v>0</v>
      </c>
      <c r="W90" s="216">
        <v>0</v>
      </c>
      <c r="X90" s="216">
        <v>0</v>
      </c>
      <c r="Y90" s="216">
        <v>0</v>
      </c>
      <c r="Z90" s="216">
        <v>0</v>
      </c>
      <c r="AA90" s="216">
        <v>0</v>
      </c>
      <c r="AB90" s="216">
        <v>0</v>
      </c>
      <c r="AC90" s="216">
        <v>0</v>
      </c>
      <c r="AD90" s="216">
        <v>0</v>
      </c>
      <c r="AE90" s="216">
        <v>0</v>
      </c>
      <c r="AF90" s="216">
        <v>-11377.797</v>
      </c>
      <c r="AG90" s="216">
        <v>0</v>
      </c>
      <c r="AH90" s="216">
        <v>0</v>
      </c>
      <c r="AI90" s="216">
        <v>0</v>
      </c>
      <c r="AJ90" s="216">
        <v>0</v>
      </c>
      <c r="AK90" s="216">
        <v>0</v>
      </c>
      <c r="AL90" s="216">
        <v>0</v>
      </c>
      <c r="AM90" s="216">
        <v>0</v>
      </c>
      <c r="AN90" s="216">
        <v>0</v>
      </c>
      <c r="AO90" s="216">
        <v>0</v>
      </c>
      <c r="AP90" s="216">
        <v>0</v>
      </c>
      <c r="AQ90" s="216">
        <v>0</v>
      </c>
      <c r="AR90" s="216">
        <v>0</v>
      </c>
      <c r="AS90" s="216">
        <v>0</v>
      </c>
      <c r="AT90" s="216">
        <v>0</v>
      </c>
      <c r="AU90" s="216">
        <v>0</v>
      </c>
      <c r="AV90" s="216">
        <v>0</v>
      </c>
      <c r="AW90" s="216">
        <v>0</v>
      </c>
      <c r="AX90" s="216">
        <v>1109</v>
      </c>
      <c r="AY90" s="216">
        <v>0</v>
      </c>
      <c r="AZ90" s="216">
        <v>0</v>
      </c>
      <c r="BA90" s="216">
        <v>0</v>
      </c>
      <c r="BB90" s="216">
        <v>0</v>
      </c>
      <c r="BC90" s="216">
        <v>0</v>
      </c>
      <c r="BD90" s="216">
        <v>0</v>
      </c>
      <c r="BE90" s="216">
        <v>0</v>
      </c>
      <c r="BF90" s="216">
        <v>0</v>
      </c>
      <c r="BG90" s="216">
        <v>0</v>
      </c>
      <c r="BH90" s="216">
        <v>0</v>
      </c>
      <c r="BJ90" s="39">
        <f>SUM(B90:BH90)</f>
        <v>-10268.797</v>
      </c>
      <c r="BK90" s="39"/>
      <c r="BL90" s="39">
        <f t="shared" si="14"/>
        <v>1109</v>
      </c>
      <c r="BM90" s="39">
        <f t="shared" si="15"/>
        <v>-11377.797</v>
      </c>
      <c r="BN90" s="39"/>
      <c r="BO90" s="209"/>
    </row>
    <row r="91" spans="1:67" ht="11.25" customHeight="1" outlineLevel="1">
      <c r="A91" s="206" t="s">
        <v>252</v>
      </c>
      <c r="B91" s="216">
        <v>320235</v>
      </c>
      <c r="C91" s="216">
        <v>150745</v>
      </c>
      <c r="D91" s="216">
        <v>0</v>
      </c>
      <c r="E91" s="216">
        <v>0</v>
      </c>
      <c r="F91" s="216">
        <v>1077000</v>
      </c>
      <c r="G91" s="216">
        <v>405000</v>
      </c>
      <c r="H91" s="216">
        <v>131351</v>
      </c>
      <c r="I91" s="216">
        <v>265652</v>
      </c>
      <c r="J91" s="216">
        <v>56429</v>
      </c>
      <c r="K91" s="216">
        <v>228720</v>
      </c>
      <c r="L91" s="216">
        <v>399934</v>
      </c>
      <c r="M91" s="216">
        <v>119414</v>
      </c>
      <c r="N91" s="216">
        <v>0</v>
      </c>
      <c r="O91" s="216">
        <v>217391</v>
      </c>
      <c r="P91" s="216">
        <v>0</v>
      </c>
      <c r="Q91" s="216">
        <v>0</v>
      </c>
      <c r="R91" s="216">
        <v>70803</v>
      </c>
      <c r="S91" s="216">
        <v>0</v>
      </c>
      <c r="T91" s="216">
        <v>108515</v>
      </c>
      <c r="U91" s="216">
        <v>0</v>
      </c>
      <c r="V91" s="216">
        <v>383305</v>
      </c>
      <c r="W91" s="216">
        <v>0</v>
      </c>
      <c r="X91" s="216">
        <v>133382</v>
      </c>
      <c r="Y91" s="216">
        <v>190404</v>
      </c>
      <c r="Z91" s="298">
        <v>100226</v>
      </c>
      <c r="AA91" s="216">
        <v>75594</v>
      </c>
      <c r="AB91" s="216">
        <v>34965.924</v>
      </c>
      <c r="AC91" s="216">
        <v>6437848</v>
      </c>
      <c r="AD91" s="216">
        <v>89033</v>
      </c>
      <c r="AE91" s="216">
        <v>48075</v>
      </c>
      <c r="AF91" s="216">
        <v>7662.632</v>
      </c>
      <c r="AG91" s="216">
        <v>118967</v>
      </c>
      <c r="AH91" s="216">
        <v>9480</v>
      </c>
      <c r="AI91" s="216">
        <v>0</v>
      </c>
      <c r="AJ91" s="216">
        <v>41000</v>
      </c>
      <c r="AK91" s="216">
        <v>973.917</v>
      </c>
      <c r="AL91" s="216">
        <v>0</v>
      </c>
      <c r="AM91" s="216">
        <v>0</v>
      </c>
      <c r="AN91" s="216">
        <v>0</v>
      </c>
      <c r="AO91" s="216">
        <v>11924</v>
      </c>
      <c r="AP91" s="216">
        <v>17969</v>
      </c>
      <c r="AQ91" s="216">
        <v>0</v>
      </c>
      <c r="AR91" s="216">
        <v>0</v>
      </c>
      <c r="AS91" s="216">
        <v>0</v>
      </c>
      <c r="AT91" s="216">
        <v>1005</v>
      </c>
      <c r="AU91" s="216">
        <v>0</v>
      </c>
      <c r="AV91" s="216">
        <v>0</v>
      </c>
      <c r="AW91" s="216">
        <v>9425</v>
      </c>
      <c r="AX91" s="216">
        <v>8724</v>
      </c>
      <c r="AY91" s="216">
        <v>0</v>
      </c>
      <c r="AZ91" s="216">
        <v>0</v>
      </c>
      <c r="BA91" s="216">
        <v>252</v>
      </c>
      <c r="BB91" s="216">
        <v>0</v>
      </c>
      <c r="BC91" s="216">
        <v>0</v>
      </c>
      <c r="BD91" s="216">
        <v>1782</v>
      </c>
      <c r="BE91" s="216">
        <v>669</v>
      </c>
      <c r="BF91" s="216">
        <v>0</v>
      </c>
      <c r="BG91" s="216">
        <v>0</v>
      </c>
      <c r="BH91" s="216">
        <v>0</v>
      </c>
      <c r="BJ91" s="39">
        <f>SUM(B91:BH91)</f>
        <v>11273855.472999997</v>
      </c>
      <c r="BK91" s="39"/>
      <c r="BL91" s="39">
        <f t="shared" si="14"/>
        <v>6880166</v>
      </c>
      <c r="BM91" s="39">
        <f t="shared" si="15"/>
        <v>4393689.473</v>
      </c>
      <c r="BN91" s="39"/>
      <c r="BO91" s="209"/>
    </row>
    <row r="92" spans="1:67" ht="11.25" customHeight="1" outlineLevel="1">
      <c r="A92" s="39" t="s">
        <v>253</v>
      </c>
      <c r="B92" s="216">
        <v>301702</v>
      </c>
      <c r="C92" s="216">
        <v>108829</v>
      </c>
      <c r="D92" s="216">
        <v>0</v>
      </c>
      <c r="E92" s="216">
        <v>0</v>
      </c>
      <c r="F92" s="216">
        <v>356677</v>
      </c>
      <c r="G92" s="216">
        <v>218457</v>
      </c>
      <c r="H92" s="216">
        <v>247000</v>
      </c>
      <c r="I92" s="216">
        <v>36681</v>
      </c>
      <c r="J92" s="216">
        <v>854527</v>
      </c>
      <c r="K92" s="216">
        <v>4597</v>
      </c>
      <c r="L92" s="216">
        <v>0</v>
      </c>
      <c r="M92" s="216">
        <v>1086</v>
      </c>
      <c r="N92" s="216">
        <v>267</v>
      </c>
      <c r="O92" s="216">
        <v>-925</v>
      </c>
      <c r="P92" s="216">
        <v>14878</v>
      </c>
      <c r="Q92" s="216">
        <v>12699</v>
      </c>
      <c r="R92" s="216">
        <v>67277</v>
      </c>
      <c r="S92" s="216">
        <v>0</v>
      </c>
      <c r="T92" s="216">
        <v>330</v>
      </c>
      <c r="U92" s="216">
        <v>19061</v>
      </c>
      <c r="V92" s="216">
        <v>46513</v>
      </c>
      <c r="W92" s="216">
        <v>-29465</v>
      </c>
      <c r="X92" s="216">
        <v>-84511</v>
      </c>
      <c r="Y92" s="216">
        <v>112217</v>
      </c>
      <c r="Z92" s="298">
        <v>42633</v>
      </c>
      <c r="AA92" s="216">
        <v>3428</v>
      </c>
      <c r="AB92" s="216">
        <v>37284.144</v>
      </c>
      <c r="AC92" s="216">
        <v>0</v>
      </c>
      <c r="AD92" s="216">
        <v>10498</v>
      </c>
      <c r="AE92" s="216">
        <v>17645</v>
      </c>
      <c r="AF92" s="216">
        <v>4998.638</v>
      </c>
      <c r="AG92" s="216">
        <v>9041</v>
      </c>
      <c r="AH92" s="216">
        <v>733</v>
      </c>
      <c r="AI92" s="216">
        <v>0</v>
      </c>
      <c r="AJ92" s="216">
        <v>0</v>
      </c>
      <c r="AK92" s="216">
        <v>612.707</v>
      </c>
      <c r="AL92" s="216">
        <v>2897</v>
      </c>
      <c r="AM92" s="216">
        <v>95</v>
      </c>
      <c r="AN92" s="216">
        <v>1290</v>
      </c>
      <c r="AO92" s="216">
        <v>1598</v>
      </c>
      <c r="AP92" s="216">
        <v>800</v>
      </c>
      <c r="AQ92" s="216">
        <v>998</v>
      </c>
      <c r="AR92" s="216">
        <v>1493</v>
      </c>
      <c r="AS92" s="216">
        <v>23259</v>
      </c>
      <c r="AT92" s="216">
        <v>2802</v>
      </c>
      <c r="AU92" s="216">
        <v>0</v>
      </c>
      <c r="AV92" s="216">
        <v>4204</v>
      </c>
      <c r="AW92" s="216">
        <v>0</v>
      </c>
      <c r="AX92" s="216">
        <v>0</v>
      </c>
      <c r="AY92" s="216">
        <v>572</v>
      </c>
      <c r="AZ92" s="216">
        <v>303</v>
      </c>
      <c r="BA92" s="216">
        <v>195</v>
      </c>
      <c r="BB92" s="216">
        <v>581</v>
      </c>
      <c r="BC92" s="216">
        <v>0</v>
      </c>
      <c r="BD92" s="216">
        <v>0</v>
      </c>
      <c r="BE92" s="216">
        <v>180</v>
      </c>
      <c r="BF92" s="216">
        <v>1</v>
      </c>
      <c r="BG92" s="216">
        <v>0</v>
      </c>
      <c r="BH92" s="216">
        <v>0</v>
      </c>
      <c r="BJ92" s="39">
        <f>SUM(B92:BH92)</f>
        <v>2456038.4889999996</v>
      </c>
      <c r="BK92" s="39"/>
      <c r="BL92" s="39">
        <f t="shared" si="14"/>
        <v>353193</v>
      </c>
      <c r="BM92" s="39">
        <f t="shared" si="15"/>
        <v>2102845.489</v>
      </c>
      <c r="BN92" s="39"/>
      <c r="BO92" s="209"/>
    </row>
    <row r="93" spans="1:67" ht="11.25" customHeight="1">
      <c r="A93" s="212" t="s">
        <v>254</v>
      </c>
      <c r="B93" s="216">
        <f>SUM(B90:B92)</f>
        <v>621937</v>
      </c>
      <c r="C93" s="216">
        <f aca="true" t="shared" si="19" ref="C93:BH93">SUM(C90:C92)</f>
        <v>259574</v>
      </c>
      <c r="D93" s="216">
        <f t="shared" si="19"/>
        <v>0</v>
      </c>
      <c r="E93" s="216">
        <f t="shared" si="19"/>
        <v>0</v>
      </c>
      <c r="F93" s="216">
        <f t="shared" si="19"/>
        <v>1433677</v>
      </c>
      <c r="G93" s="216">
        <f t="shared" si="19"/>
        <v>623457</v>
      </c>
      <c r="H93" s="216">
        <f t="shared" si="19"/>
        <v>378351</v>
      </c>
      <c r="I93" s="216">
        <f t="shared" si="19"/>
        <v>302333</v>
      </c>
      <c r="J93" s="216">
        <f t="shared" si="19"/>
        <v>910956</v>
      </c>
      <c r="K93" s="216">
        <f t="shared" si="19"/>
        <v>233317</v>
      </c>
      <c r="L93" s="216">
        <f t="shared" si="19"/>
        <v>399934</v>
      </c>
      <c r="M93" s="216">
        <f t="shared" si="19"/>
        <v>120500</v>
      </c>
      <c r="N93" s="216">
        <f t="shared" si="19"/>
        <v>267</v>
      </c>
      <c r="O93" s="216">
        <f t="shared" si="19"/>
        <v>216466</v>
      </c>
      <c r="P93" s="216">
        <f t="shared" si="19"/>
        <v>14878</v>
      </c>
      <c r="Q93" s="216">
        <f t="shared" si="19"/>
        <v>12699</v>
      </c>
      <c r="R93" s="216">
        <f t="shared" si="19"/>
        <v>138080</v>
      </c>
      <c r="S93" s="216">
        <f t="shared" si="19"/>
        <v>0</v>
      </c>
      <c r="T93" s="216">
        <f t="shared" si="19"/>
        <v>108845</v>
      </c>
      <c r="U93" s="216">
        <f t="shared" si="19"/>
        <v>19061</v>
      </c>
      <c r="V93" s="216">
        <f t="shared" si="19"/>
        <v>429818</v>
      </c>
      <c r="W93" s="216">
        <f t="shared" si="19"/>
        <v>-29465</v>
      </c>
      <c r="X93" s="216">
        <f t="shared" si="19"/>
        <v>48871</v>
      </c>
      <c r="Y93" s="216">
        <f t="shared" si="19"/>
        <v>302621</v>
      </c>
      <c r="Z93" s="216">
        <f t="shared" si="19"/>
        <v>142859</v>
      </c>
      <c r="AA93" s="216">
        <f t="shared" si="19"/>
        <v>79022</v>
      </c>
      <c r="AB93" s="216">
        <f t="shared" si="19"/>
        <v>72250.068</v>
      </c>
      <c r="AC93" s="216">
        <f t="shared" si="19"/>
        <v>6437848</v>
      </c>
      <c r="AD93" s="216">
        <f t="shared" si="19"/>
        <v>99531</v>
      </c>
      <c r="AE93" s="216">
        <f t="shared" si="19"/>
        <v>65720</v>
      </c>
      <c r="AF93" s="216">
        <f t="shared" si="19"/>
        <v>1283.472999999999</v>
      </c>
      <c r="AG93" s="216">
        <f t="shared" si="19"/>
        <v>128008</v>
      </c>
      <c r="AH93" s="216">
        <f t="shared" si="19"/>
        <v>10213</v>
      </c>
      <c r="AI93" s="216">
        <f t="shared" si="19"/>
        <v>0</v>
      </c>
      <c r="AJ93" s="216">
        <f t="shared" si="19"/>
        <v>41000</v>
      </c>
      <c r="AK93" s="216">
        <f t="shared" si="19"/>
        <v>1586.624</v>
      </c>
      <c r="AL93" s="216">
        <f t="shared" si="19"/>
        <v>2897</v>
      </c>
      <c r="AM93" s="216">
        <f t="shared" si="19"/>
        <v>95</v>
      </c>
      <c r="AN93" s="216">
        <f t="shared" si="19"/>
        <v>1290</v>
      </c>
      <c r="AO93" s="216">
        <f t="shared" si="19"/>
        <v>13522</v>
      </c>
      <c r="AP93" s="216">
        <f t="shared" si="19"/>
        <v>18769</v>
      </c>
      <c r="AQ93" s="216">
        <f t="shared" si="19"/>
        <v>998</v>
      </c>
      <c r="AR93" s="216">
        <f t="shared" si="19"/>
        <v>1493</v>
      </c>
      <c r="AS93" s="216">
        <f t="shared" si="19"/>
        <v>23259</v>
      </c>
      <c r="AT93" s="216">
        <f t="shared" si="19"/>
        <v>3807</v>
      </c>
      <c r="AU93" s="216">
        <f t="shared" si="19"/>
        <v>0</v>
      </c>
      <c r="AV93" s="216">
        <f t="shared" si="19"/>
        <v>4204</v>
      </c>
      <c r="AW93" s="216">
        <f t="shared" si="19"/>
        <v>9425</v>
      </c>
      <c r="AX93" s="216">
        <f t="shared" si="19"/>
        <v>9833</v>
      </c>
      <c r="AY93" s="216">
        <f t="shared" si="19"/>
        <v>572</v>
      </c>
      <c r="AZ93" s="216">
        <f t="shared" si="19"/>
        <v>303</v>
      </c>
      <c r="BA93" s="216">
        <f t="shared" si="19"/>
        <v>447</v>
      </c>
      <c r="BB93" s="216">
        <f t="shared" si="19"/>
        <v>581</v>
      </c>
      <c r="BC93" s="216">
        <f t="shared" si="19"/>
        <v>0</v>
      </c>
      <c r="BD93" s="216">
        <f t="shared" si="19"/>
        <v>1782</v>
      </c>
      <c r="BE93" s="216">
        <f t="shared" si="19"/>
        <v>849</v>
      </c>
      <c r="BF93" s="216">
        <f t="shared" si="19"/>
        <v>1</v>
      </c>
      <c r="BG93" s="216">
        <f t="shared" si="19"/>
        <v>0</v>
      </c>
      <c r="BH93" s="216">
        <f t="shared" si="19"/>
        <v>0</v>
      </c>
      <c r="BJ93" s="39">
        <f>SUM(B93:BH93)</f>
        <v>13719625.165</v>
      </c>
      <c r="BK93" s="39"/>
      <c r="BL93" s="39">
        <f t="shared" si="14"/>
        <v>7234468</v>
      </c>
      <c r="BM93" s="39">
        <f t="shared" si="15"/>
        <v>6485157.165</v>
      </c>
      <c r="BN93" s="39"/>
      <c r="BO93" s="209"/>
    </row>
    <row r="94" spans="1:67" ht="11.25" customHeight="1">
      <c r="A94" s="212"/>
      <c r="B94" s="216"/>
      <c r="C94" s="216"/>
      <c r="D94" s="216"/>
      <c r="E94" s="216"/>
      <c r="F94" s="218"/>
      <c r="G94" s="218"/>
      <c r="H94" s="218"/>
      <c r="I94" s="218"/>
      <c r="J94" s="218"/>
      <c r="K94" s="39"/>
      <c r="L94" s="218"/>
      <c r="M94" s="216"/>
      <c r="N94" s="218"/>
      <c r="P94" s="218"/>
      <c r="Q94" s="218"/>
      <c r="R94" s="218"/>
      <c r="S94" s="218"/>
      <c r="U94" s="217"/>
      <c r="X94" s="218"/>
      <c r="Y94" s="218"/>
      <c r="Z94" s="298"/>
      <c r="AA94" s="218"/>
      <c r="AB94" s="218"/>
      <c r="AC94" s="218"/>
      <c r="AD94" s="218"/>
      <c r="AE94" s="218"/>
      <c r="AF94" s="218"/>
      <c r="AG94" s="218"/>
      <c r="AH94" s="218"/>
      <c r="AJ94" s="218"/>
      <c r="AL94" s="217"/>
      <c r="AM94" s="218"/>
      <c r="AN94" s="218"/>
      <c r="AO94" s="218"/>
      <c r="AP94" s="218"/>
      <c r="AQ94" s="218"/>
      <c r="AR94" s="218"/>
      <c r="AS94" s="218"/>
      <c r="AV94" s="218"/>
      <c r="AX94" s="218"/>
      <c r="AY94" s="218"/>
      <c r="BA94" s="218"/>
      <c r="BB94" s="218"/>
      <c r="BC94" s="218"/>
      <c r="BD94" s="218"/>
      <c r="BE94" s="218"/>
      <c r="BF94" s="218"/>
      <c r="BJ94" s="39"/>
      <c r="BK94" s="39"/>
      <c r="BL94" s="39"/>
      <c r="BM94" s="39"/>
      <c r="BN94" s="39"/>
      <c r="BO94" s="209"/>
    </row>
    <row r="95" spans="1:67" ht="11.25" customHeight="1" outlineLevel="1">
      <c r="A95" s="212" t="s">
        <v>255</v>
      </c>
      <c r="B95" s="216"/>
      <c r="C95" s="216"/>
      <c r="D95" s="216"/>
      <c r="E95" s="216"/>
      <c r="F95" s="218"/>
      <c r="G95" s="218"/>
      <c r="H95" s="218"/>
      <c r="I95" s="218"/>
      <c r="J95" s="218"/>
      <c r="K95" s="218"/>
      <c r="L95" s="218"/>
      <c r="M95" s="217"/>
      <c r="N95" s="218"/>
      <c r="P95" s="218"/>
      <c r="Q95" s="218"/>
      <c r="R95" s="218"/>
      <c r="S95" s="218"/>
      <c r="U95" s="217"/>
      <c r="X95" s="218"/>
      <c r="Y95" s="218"/>
      <c r="Z95" s="297"/>
      <c r="AA95" s="218"/>
      <c r="AB95" s="218"/>
      <c r="AC95" s="218"/>
      <c r="AD95" s="218"/>
      <c r="AE95" s="218"/>
      <c r="AF95" s="218"/>
      <c r="AG95" s="218"/>
      <c r="AH95" s="218"/>
      <c r="AJ95" s="218"/>
      <c r="AL95" s="217"/>
      <c r="AM95" s="218"/>
      <c r="AN95" s="218"/>
      <c r="AO95" s="218"/>
      <c r="AP95" s="218"/>
      <c r="AQ95" s="218"/>
      <c r="AR95" s="218"/>
      <c r="AS95" s="218"/>
      <c r="AV95" s="218"/>
      <c r="AX95" s="218"/>
      <c r="AY95" s="218"/>
      <c r="BA95" s="218"/>
      <c r="BB95" s="218"/>
      <c r="BC95" s="218"/>
      <c r="BD95" s="218"/>
      <c r="BE95" s="218"/>
      <c r="BF95" s="218"/>
      <c r="BJ95" s="39"/>
      <c r="BK95" s="39"/>
      <c r="BL95" s="39"/>
      <c r="BM95" s="39"/>
      <c r="BN95" s="39"/>
      <c r="BO95" s="209"/>
    </row>
    <row r="96" spans="1:67" ht="11.25" customHeight="1" outlineLevel="1">
      <c r="A96" s="206" t="s">
        <v>256</v>
      </c>
      <c r="B96" s="216">
        <v>8847</v>
      </c>
      <c r="C96" s="216">
        <v>8847</v>
      </c>
      <c r="D96" s="216">
        <v>0</v>
      </c>
      <c r="E96" s="216">
        <v>0</v>
      </c>
      <c r="F96" s="216">
        <v>72787</v>
      </c>
      <c r="G96" s="216">
        <v>21890</v>
      </c>
      <c r="H96" s="216">
        <v>5076</v>
      </c>
      <c r="I96" s="216">
        <v>14411</v>
      </c>
      <c r="J96" s="216">
        <v>0</v>
      </c>
      <c r="K96" s="216">
        <v>6992</v>
      </c>
      <c r="L96" s="216">
        <v>8692</v>
      </c>
      <c r="M96" s="216">
        <v>0</v>
      </c>
      <c r="N96" s="216">
        <v>0</v>
      </c>
      <c r="O96" s="216">
        <v>18368</v>
      </c>
      <c r="P96" s="216">
        <v>1411</v>
      </c>
      <c r="Q96" s="216">
        <v>128</v>
      </c>
      <c r="R96" s="216">
        <v>18104</v>
      </c>
      <c r="S96" s="216">
        <v>0</v>
      </c>
      <c r="T96" s="216">
        <v>0</v>
      </c>
      <c r="U96" s="216">
        <v>0</v>
      </c>
      <c r="V96" s="216">
        <v>4134</v>
      </c>
      <c r="W96" s="216">
        <v>0</v>
      </c>
      <c r="X96" s="216">
        <v>10035</v>
      </c>
      <c r="Y96" s="216">
        <v>1502</v>
      </c>
      <c r="Z96" s="298">
        <v>1966</v>
      </c>
      <c r="AA96" s="216">
        <v>2689</v>
      </c>
      <c r="AB96" s="216">
        <v>0</v>
      </c>
      <c r="AC96" s="216">
        <v>0</v>
      </c>
      <c r="AD96" s="216">
        <v>0</v>
      </c>
      <c r="AE96" s="216">
        <v>0</v>
      </c>
      <c r="AF96" s="216">
        <v>0</v>
      </c>
      <c r="AG96" s="216">
        <v>5703</v>
      </c>
      <c r="AH96" s="216">
        <v>692</v>
      </c>
      <c r="AI96" s="216">
        <v>0</v>
      </c>
      <c r="AJ96" s="216">
        <v>1271</v>
      </c>
      <c r="AK96" s="216">
        <v>0</v>
      </c>
      <c r="AL96" s="216">
        <v>0</v>
      </c>
      <c r="AM96" s="216">
        <v>0</v>
      </c>
      <c r="AN96" s="216">
        <v>0</v>
      </c>
      <c r="AO96" s="216">
        <v>1400</v>
      </c>
      <c r="AP96" s="216">
        <v>0</v>
      </c>
      <c r="AQ96" s="216">
        <v>0</v>
      </c>
      <c r="AR96" s="216">
        <v>0</v>
      </c>
      <c r="AS96" s="216">
        <v>0</v>
      </c>
      <c r="AT96" s="216">
        <v>0</v>
      </c>
      <c r="AU96" s="216">
        <v>0</v>
      </c>
      <c r="AV96" s="216">
        <v>0</v>
      </c>
      <c r="AW96" s="216">
        <v>0</v>
      </c>
      <c r="AX96" s="216">
        <v>0</v>
      </c>
      <c r="AY96" s="216">
        <v>0</v>
      </c>
      <c r="AZ96" s="216">
        <v>0</v>
      </c>
      <c r="BA96" s="216">
        <v>0</v>
      </c>
      <c r="BB96" s="216">
        <v>0</v>
      </c>
      <c r="BC96" s="216">
        <v>0</v>
      </c>
      <c r="BD96" s="216">
        <v>0</v>
      </c>
      <c r="BE96" s="216">
        <v>0</v>
      </c>
      <c r="BF96" s="216">
        <v>0</v>
      </c>
      <c r="BG96" s="216">
        <v>0</v>
      </c>
      <c r="BH96" s="216">
        <v>0</v>
      </c>
      <c r="BJ96" s="39">
        <f>SUM(B96:BH96)</f>
        <v>214945</v>
      </c>
      <c r="BK96" s="39"/>
      <c r="BL96" s="39">
        <f t="shared" si="14"/>
        <v>10813</v>
      </c>
      <c r="BM96" s="39">
        <f t="shared" si="15"/>
        <v>204132</v>
      </c>
      <c r="BN96" s="39"/>
      <c r="BO96" s="209"/>
    </row>
    <row r="97" spans="1:67" ht="11.25" customHeight="1" outlineLevel="1">
      <c r="A97" s="206" t="s">
        <v>257</v>
      </c>
      <c r="B97" s="216">
        <v>0</v>
      </c>
      <c r="C97" s="216">
        <v>366693</v>
      </c>
      <c r="D97" s="216">
        <v>160347</v>
      </c>
      <c r="E97" s="216">
        <v>40387</v>
      </c>
      <c r="F97" s="216">
        <v>2867880</v>
      </c>
      <c r="G97" s="216">
        <v>723892</v>
      </c>
      <c r="H97" s="216">
        <v>380577</v>
      </c>
      <c r="I97" s="216">
        <v>448494</v>
      </c>
      <c r="J97" s="216">
        <v>0</v>
      </c>
      <c r="K97" s="216">
        <v>642530</v>
      </c>
      <c r="L97" s="216">
        <v>375519</v>
      </c>
      <c r="M97" s="216">
        <v>36315</v>
      </c>
      <c r="N97" s="216">
        <v>111732</v>
      </c>
      <c r="O97" s="216">
        <v>150250</v>
      </c>
      <c r="P97" s="216">
        <v>164298</v>
      </c>
      <c r="Q97" s="216">
        <v>138341</v>
      </c>
      <c r="R97" s="216">
        <v>184967</v>
      </c>
      <c r="S97" s="216">
        <v>0</v>
      </c>
      <c r="T97" s="216">
        <v>375906</v>
      </c>
      <c r="U97" s="216">
        <v>4412</v>
      </c>
      <c r="V97" s="216">
        <v>13830</v>
      </c>
      <c r="W97" s="216">
        <v>107226</v>
      </c>
      <c r="X97" s="216">
        <v>2691</v>
      </c>
      <c r="Y97" s="216">
        <v>53657</v>
      </c>
      <c r="Z97" s="298">
        <v>0</v>
      </c>
      <c r="AA97" s="216">
        <v>86769</v>
      </c>
      <c r="AB97" s="216">
        <v>38889.148</v>
      </c>
      <c r="AC97" s="216">
        <v>141630</v>
      </c>
      <c r="AD97" s="216">
        <v>35483</v>
      </c>
      <c r="AE97" s="216">
        <v>11405</v>
      </c>
      <c r="AF97" s="216">
        <v>2348.315</v>
      </c>
      <c r="AG97" s="216">
        <v>129085</v>
      </c>
      <c r="AH97" s="216">
        <v>10459</v>
      </c>
      <c r="AI97" s="216">
        <v>187511</v>
      </c>
      <c r="AJ97" s="216">
        <v>104616</v>
      </c>
      <c r="AK97" s="216">
        <v>6182.226</v>
      </c>
      <c r="AL97" s="216">
        <v>5267</v>
      </c>
      <c r="AM97" s="216">
        <v>951</v>
      </c>
      <c r="AN97" s="216">
        <v>657</v>
      </c>
      <c r="AO97" s="216">
        <v>1195855</v>
      </c>
      <c r="AP97" s="216">
        <v>17636</v>
      </c>
      <c r="AQ97" s="216">
        <v>2098</v>
      </c>
      <c r="AR97" s="216">
        <v>29810</v>
      </c>
      <c r="AS97" s="216">
        <v>257</v>
      </c>
      <c r="AT97" s="216">
        <f>7570+49212</f>
        <v>56782</v>
      </c>
      <c r="AU97" s="216">
        <v>5686.381</v>
      </c>
      <c r="AV97" s="216">
        <v>2943</v>
      </c>
      <c r="AW97" s="216">
        <v>16575</v>
      </c>
      <c r="AX97" s="216">
        <v>2069</v>
      </c>
      <c r="AY97" s="216">
        <v>1948</v>
      </c>
      <c r="AZ97" s="39">
        <v>366</v>
      </c>
      <c r="BA97" s="216">
        <v>71295</v>
      </c>
      <c r="BB97" s="216">
        <v>3765</v>
      </c>
      <c r="BC97" s="216">
        <v>41731.014</v>
      </c>
      <c r="BD97" s="216">
        <v>8414</v>
      </c>
      <c r="BE97" s="216">
        <v>6571</v>
      </c>
      <c r="BF97" s="216">
        <v>42942</v>
      </c>
      <c r="BG97" s="216">
        <v>42644</v>
      </c>
      <c r="BH97" s="216">
        <v>373</v>
      </c>
      <c r="BJ97" s="39">
        <f>SUM(B97:BH97)</f>
        <v>9660957.083999999</v>
      </c>
      <c r="BK97" s="39"/>
      <c r="BL97" s="39">
        <f t="shared" si="14"/>
        <v>625390</v>
      </c>
      <c r="BM97" s="39">
        <f t="shared" si="15"/>
        <v>9035567.083999999</v>
      </c>
      <c r="BN97" s="39"/>
      <c r="BO97" s="209"/>
    </row>
    <row r="98" spans="1:67" ht="11.25" customHeight="1" outlineLevel="1">
      <c r="A98" s="39" t="s">
        <v>258</v>
      </c>
      <c r="B98" s="216">
        <v>0</v>
      </c>
      <c r="C98" s="216">
        <v>0</v>
      </c>
      <c r="D98" s="216">
        <v>0</v>
      </c>
      <c r="E98" s="216">
        <v>0</v>
      </c>
      <c r="F98" s="216">
        <v>0</v>
      </c>
      <c r="G98" s="216">
        <v>190411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6">
        <v>0</v>
      </c>
      <c r="O98" s="216">
        <v>0</v>
      </c>
      <c r="P98" s="216">
        <v>32628</v>
      </c>
      <c r="Q98" s="216">
        <v>5909</v>
      </c>
      <c r="R98" s="216">
        <v>0</v>
      </c>
      <c r="S98" s="216">
        <v>0</v>
      </c>
      <c r="T98" s="216">
        <v>15596</v>
      </c>
      <c r="U98" s="205">
        <v>0</v>
      </c>
      <c r="V98" s="216"/>
      <c r="W98" s="216"/>
      <c r="X98" s="216"/>
      <c r="Y98" s="216">
        <v>68304</v>
      </c>
      <c r="Z98" s="298">
        <v>0</v>
      </c>
      <c r="AA98" s="216"/>
      <c r="AB98" s="216">
        <v>0</v>
      </c>
      <c r="AC98" s="216">
        <v>0</v>
      </c>
      <c r="AD98" s="216">
        <v>0</v>
      </c>
      <c r="AE98" s="216">
        <v>51126</v>
      </c>
      <c r="AF98" s="216">
        <v>0</v>
      </c>
      <c r="AG98" s="216">
        <v>0</v>
      </c>
      <c r="AH98" s="216">
        <v>0</v>
      </c>
      <c r="AI98" s="216">
        <v>0</v>
      </c>
      <c r="AJ98" s="216">
        <v>43814</v>
      </c>
      <c r="AK98" s="216">
        <v>0</v>
      </c>
      <c r="AL98" s="216">
        <v>0</v>
      </c>
      <c r="AM98" s="216">
        <v>0</v>
      </c>
      <c r="AN98" s="216">
        <v>0</v>
      </c>
      <c r="AO98" s="216">
        <v>0</v>
      </c>
      <c r="AP98" s="216">
        <v>2467</v>
      </c>
      <c r="AQ98" s="216">
        <v>5124</v>
      </c>
      <c r="AR98" s="216">
        <v>0</v>
      </c>
      <c r="AS98" s="216">
        <v>216</v>
      </c>
      <c r="AT98" s="216">
        <v>0</v>
      </c>
      <c r="AU98" s="216">
        <v>0</v>
      </c>
      <c r="AV98" s="216">
        <v>5533</v>
      </c>
      <c r="AW98" s="216">
        <v>0</v>
      </c>
      <c r="AX98" s="216">
        <v>0</v>
      </c>
      <c r="AY98" s="216">
        <v>0</v>
      </c>
      <c r="AZ98" s="216">
        <v>0</v>
      </c>
      <c r="BA98" s="216">
        <v>0</v>
      </c>
      <c r="BB98" s="216">
        <v>0</v>
      </c>
      <c r="BC98" s="216">
        <v>0</v>
      </c>
      <c r="BD98" s="216">
        <v>0</v>
      </c>
      <c r="BE98" s="216">
        <v>0</v>
      </c>
      <c r="BF98" s="216">
        <v>0</v>
      </c>
      <c r="BG98" s="216">
        <v>0</v>
      </c>
      <c r="BH98" s="216">
        <v>0</v>
      </c>
      <c r="BJ98" s="39">
        <f>SUM(B98:BH98)</f>
        <v>421128</v>
      </c>
      <c r="BK98" s="39"/>
      <c r="BL98" s="39">
        <f t="shared" si="14"/>
        <v>0</v>
      </c>
      <c r="BM98" s="39">
        <f t="shared" si="15"/>
        <v>421128</v>
      </c>
      <c r="BN98" s="39"/>
      <c r="BO98" s="209"/>
    </row>
    <row r="99" spans="1:67" ht="11.25" customHeight="1">
      <c r="A99" s="212" t="s">
        <v>259</v>
      </c>
      <c r="B99" s="216">
        <f>SUM(B96:B98)</f>
        <v>8847</v>
      </c>
      <c r="C99" s="216">
        <f aca="true" t="shared" si="20" ref="C99:BH99">SUM(C96:C98)</f>
        <v>375540</v>
      </c>
      <c r="D99" s="216">
        <f t="shared" si="20"/>
        <v>160347</v>
      </c>
      <c r="E99" s="216">
        <f t="shared" si="20"/>
        <v>40387</v>
      </c>
      <c r="F99" s="216">
        <f t="shared" si="20"/>
        <v>2940667</v>
      </c>
      <c r="G99" s="216">
        <f t="shared" si="20"/>
        <v>936193</v>
      </c>
      <c r="H99" s="216">
        <f t="shared" si="20"/>
        <v>385653</v>
      </c>
      <c r="I99" s="216">
        <f t="shared" si="20"/>
        <v>462905</v>
      </c>
      <c r="J99" s="216">
        <f t="shared" si="20"/>
        <v>0</v>
      </c>
      <c r="K99" s="216">
        <f t="shared" si="20"/>
        <v>649522</v>
      </c>
      <c r="L99" s="216">
        <f t="shared" si="20"/>
        <v>384211</v>
      </c>
      <c r="M99" s="216">
        <f t="shared" si="20"/>
        <v>36315</v>
      </c>
      <c r="N99" s="216">
        <f t="shared" si="20"/>
        <v>111732</v>
      </c>
      <c r="O99" s="216">
        <f t="shared" si="20"/>
        <v>168618</v>
      </c>
      <c r="P99" s="216">
        <f t="shared" si="20"/>
        <v>198337</v>
      </c>
      <c r="Q99" s="216">
        <f t="shared" si="20"/>
        <v>144378</v>
      </c>
      <c r="R99" s="216">
        <f t="shared" si="20"/>
        <v>203071</v>
      </c>
      <c r="S99" s="216">
        <f t="shared" si="20"/>
        <v>0</v>
      </c>
      <c r="T99" s="216">
        <f t="shared" si="20"/>
        <v>391502</v>
      </c>
      <c r="U99" s="216">
        <f>SUM(U96:U97)</f>
        <v>4412</v>
      </c>
      <c r="V99" s="216">
        <f t="shared" si="20"/>
        <v>17964</v>
      </c>
      <c r="W99" s="216">
        <f t="shared" si="20"/>
        <v>107226</v>
      </c>
      <c r="X99" s="216">
        <f t="shared" si="20"/>
        <v>12726</v>
      </c>
      <c r="Y99" s="216">
        <f t="shared" si="20"/>
        <v>123463</v>
      </c>
      <c r="Z99" s="216">
        <f t="shared" si="20"/>
        <v>1966</v>
      </c>
      <c r="AA99" s="216">
        <f t="shared" si="20"/>
        <v>89458</v>
      </c>
      <c r="AB99" s="216">
        <f t="shared" si="20"/>
        <v>38889.148</v>
      </c>
      <c r="AC99" s="216">
        <f t="shared" si="20"/>
        <v>141630</v>
      </c>
      <c r="AD99" s="216">
        <f t="shared" si="20"/>
        <v>35483</v>
      </c>
      <c r="AE99" s="216">
        <f t="shared" si="20"/>
        <v>62531</v>
      </c>
      <c r="AF99" s="216">
        <f t="shared" si="20"/>
        <v>2348.315</v>
      </c>
      <c r="AG99" s="216">
        <f t="shared" si="20"/>
        <v>134788</v>
      </c>
      <c r="AH99" s="216">
        <f t="shared" si="20"/>
        <v>11151</v>
      </c>
      <c r="AI99" s="216">
        <f t="shared" si="20"/>
        <v>187511</v>
      </c>
      <c r="AJ99" s="216">
        <f t="shared" si="20"/>
        <v>149701</v>
      </c>
      <c r="AK99" s="216">
        <f t="shared" si="20"/>
        <v>6182.226</v>
      </c>
      <c r="AL99" s="216">
        <f t="shared" si="20"/>
        <v>5267</v>
      </c>
      <c r="AM99" s="216">
        <f t="shared" si="20"/>
        <v>951</v>
      </c>
      <c r="AN99" s="216">
        <f t="shared" si="20"/>
        <v>657</v>
      </c>
      <c r="AO99" s="216">
        <f t="shared" si="20"/>
        <v>1197255</v>
      </c>
      <c r="AP99" s="216">
        <f t="shared" si="20"/>
        <v>20103</v>
      </c>
      <c r="AQ99" s="216">
        <f t="shared" si="20"/>
        <v>7222</v>
      </c>
      <c r="AR99" s="216">
        <f t="shared" si="20"/>
        <v>29810</v>
      </c>
      <c r="AS99" s="216">
        <f t="shared" si="20"/>
        <v>473</v>
      </c>
      <c r="AT99" s="216">
        <f t="shared" si="20"/>
        <v>56782</v>
      </c>
      <c r="AU99" s="216">
        <f t="shared" si="20"/>
        <v>5686.381</v>
      </c>
      <c r="AV99" s="216">
        <f t="shared" si="20"/>
        <v>8476</v>
      </c>
      <c r="AW99" s="216">
        <f t="shared" si="20"/>
        <v>16575</v>
      </c>
      <c r="AX99" s="216">
        <f t="shared" si="20"/>
        <v>2069</v>
      </c>
      <c r="AY99" s="216">
        <f t="shared" si="20"/>
        <v>1948</v>
      </c>
      <c r="AZ99" s="216">
        <f t="shared" si="20"/>
        <v>366</v>
      </c>
      <c r="BA99" s="216">
        <f t="shared" si="20"/>
        <v>71295</v>
      </c>
      <c r="BB99" s="216">
        <f t="shared" si="20"/>
        <v>3765</v>
      </c>
      <c r="BC99" s="216">
        <f t="shared" si="20"/>
        <v>41731.014</v>
      </c>
      <c r="BD99" s="216">
        <f t="shared" si="20"/>
        <v>8414</v>
      </c>
      <c r="BE99" s="216">
        <f t="shared" si="20"/>
        <v>6571</v>
      </c>
      <c r="BF99" s="216">
        <f t="shared" si="20"/>
        <v>42942</v>
      </c>
      <c r="BG99" s="216">
        <f t="shared" si="20"/>
        <v>42644</v>
      </c>
      <c r="BH99" s="216">
        <f t="shared" si="20"/>
        <v>373</v>
      </c>
      <c r="BJ99" s="39">
        <f>SUM(B99:BH99)</f>
        <v>10297030.083999999</v>
      </c>
      <c r="BK99" s="39"/>
      <c r="BL99" s="39">
        <f t="shared" si="14"/>
        <v>636203</v>
      </c>
      <c r="BM99" s="39">
        <f t="shared" si="15"/>
        <v>9660827.083999999</v>
      </c>
      <c r="BN99" s="39"/>
      <c r="BO99" s="209"/>
    </row>
    <row r="100" spans="1:67" ht="11.25" customHeight="1">
      <c r="A100" s="229"/>
      <c r="B100" s="216"/>
      <c r="C100" s="216"/>
      <c r="D100" s="216"/>
      <c r="E100" s="216"/>
      <c r="F100" s="218"/>
      <c r="G100" s="218"/>
      <c r="H100" s="218"/>
      <c r="I100" s="218"/>
      <c r="J100" s="218"/>
      <c r="K100" s="218"/>
      <c r="L100" s="218"/>
      <c r="M100" s="217"/>
      <c r="N100" s="218"/>
      <c r="P100" s="218"/>
      <c r="Q100" s="218"/>
      <c r="R100" s="218"/>
      <c r="S100" s="218"/>
      <c r="U100" s="217"/>
      <c r="X100" s="218"/>
      <c r="Y100" s="218"/>
      <c r="Z100" s="297"/>
      <c r="AA100" s="218"/>
      <c r="AB100" s="218"/>
      <c r="AC100" s="218"/>
      <c r="AD100" s="218"/>
      <c r="AE100" s="218"/>
      <c r="AF100" s="218"/>
      <c r="AG100" s="218"/>
      <c r="AH100" s="218"/>
      <c r="AJ100" s="218"/>
      <c r="AL100" s="217"/>
      <c r="AM100" s="218"/>
      <c r="AN100" s="218"/>
      <c r="AO100" s="218"/>
      <c r="AP100" s="218"/>
      <c r="AQ100" s="218"/>
      <c r="AR100" s="218"/>
      <c r="AS100" s="218"/>
      <c r="AV100" s="218"/>
      <c r="AX100" s="218"/>
      <c r="AY100" s="218"/>
      <c r="BA100" s="218"/>
      <c r="BB100" s="218"/>
      <c r="BC100" s="218"/>
      <c r="BD100" s="218"/>
      <c r="BE100" s="218"/>
      <c r="BF100" s="218"/>
      <c r="BJ100" s="39"/>
      <c r="BK100" s="39"/>
      <c r="BL100" s="39"/>
      <c r="BM100" s="39"/>
      <c r="BN100" s="39"/>
      <c r="BO100" s="209"/>
    </row>
    <row r="101" spans="1:67" ht="11.25" customHeight="1">
      <c r="A101" s="207" t="s">
        <v>441</v>
      </c>
      <c r="B101" s="216">
        <v>0</v>
      </c>
      <c r="C101" s="216">
        <v>0</v>
      </c>
      <c r="D101" s="216">
        <v>0</v>
      </c>
      <c r="E101" s="216">
        <v>0</v>
      </c>
      <c r="F101" s="216">
        <v>0</v>
      </c>
      <c r="G101" s="216">
        <v>0</v>
      </c>
      <c r="H101" s="216">
        <v>0</v>
      </c>
      <c r="I101" s="216">
        <v>0</v>
      </c>
      <c r="J101" s="216">
        <v>0</v>
      </c>
      <c r="K101" s="216">
        <v>0</v>
      </c>
      <c r="L101" s="216">
        <v>0</v>
      </c>
      <c r="M101" s="39">
        <v>0</v>
      </c>
      <c r="N101" s="216"/>
      <c r="O101" s="216">
        <v>0</v>
      </c>
      <c r="P101" s="216">
        <v>0</v>
      </c>
      <c r="Q101" s="216">
        <v>0</v>
      </c>
      <c r="R101" s="216">
        <v>0</v>
      </c>
      <c r="S101" s="216">
        <v>0</v>
      </c>
      <c r="T101" s="216">
        <v>0</v>
      </c>
      <c r="U101" s="216">
        <v>0</v>
      </c>
      <c r="V101" s="216">
        <v>0</v>
      </c>
      <c r="W101" s="216">
        <v>0</v>
      </c>
      <c r="X101" s="216">
        <v>0</v>
      </c>
      <c r="Y101" s="216">
        <v>0</v>
      </c>
      <c r="Z101" s="216">
        <v>0</v>
      </c>
      <c r="AA101" s="216">
        <v>0</v>
      </c>
      <c r="AB101" s="216">
        <v>0</v>
      </c>
      <c r="AC101" s="216">
        <v>0</v>
      </c>
      <c r="AD101" s="216">
        <v>0</v>
      </c>
      <c r="AE101" s="216">
        <v>0</v>
      </c>
      <c r="AF101" s="216">
        <v>0</v>
      </c>
      <c r="AG101" s="216">
        <v>0</v>
      </c>
      <c r="AH101" s="216">
        <v>0</v>
      </c>
      <c r="AI101" s="216">
        <v>0</v>
      </c>
      <c r="AJ101" s="216">
        <v>0</v>
      </c>
      <c r="AK101" s="216">
        <v>0</v>
      </c>
      <c r="AL101" s="216">
        <v>0</v>
      </c>
      <c r="AM101" s="216">
        <v>0</v>
      </c>
      <c r="AN101" s="216">
        <v>0</v>
      </c>
      <c r="AO101" s="216">
        <v>0</v>
      </c>
      <c r="AP101" s="216">
        <v>0</v>
      </c>
      <c r="AQ101" s="216">
        <v>0</v>
      </c>
      <c r="AR101" s="216">
        <v>0</v>
      </c>
      <c r="AS101" s="216">
        <v>0</v>
      </c>
      <c r="AT101" s="216">
        <v>0</v>
      </c>
      <c r="AU101" s="216">
        <v>0</v>
      </c>
      <c r="AV101" s="216">
        <v>0</v>
      </c>
      <c r="AW101" s="216">
        <v>0</v>
      </c>
      <c r="AX101" s="216">
        <v>0</v>
      </c>
      <c r="AY101" s="216">
        <v>0</v>
      </c>
      <c r="AZ101" s="216">
        <v>0</v>
      </c>
      <c r="BA101" s="216">
        <v>0</v>
      </c>
      <c r="BB101" s="216">
        <v>0</v>
      </c>
      <c r="BC101" s="216">
        <v>0</v>
      </c>
      <c r="BD101" s="216">
        <v>0</v>
      </c>
      <c r="BE101" s="216">
        <v>0</v>
      </c>
      <c r="BF101" s="216">
        <v>0</v>
      </c>
      <c r="BG101" s="216">
        <v>0</v>
      </c>
      <c r="BH101" s="216">
        <v>0</v>
      </c>
      <c r="BJ101" s="39">
        <f>SUM(B101:BH101)</f>
        <v>0</v>
      </c>
      <c r="BK101" s="39"/>
      <c r="BL101" s="39">
        <f t="shared" si="14"/>
        <v>0</v>
      </c>
      <c r="BM101" s="39">
        <f t="shared" si="15"/>
        <v>0</v>
      </c>
      <c r="BN101" s="39"/>
      <c r="BO101" s="209"/>
    </row>
    <row r="102" spans="1:67" ht="11.25" customHeight="1">
      <c r="A102" s="39"/>
      <c r="B102" s="216"/>
      <c r="C102" s="216"/>
      <c r="D102" s="216"/>
      <c r="E102" s="216"/>
      <c r="F102" s="218"/>
      <c r="G102" s="218"/>
      <c r="H102" s="218"/>
      <c r="I102" s="218"/>
      <c r="J102" s="218"/>
      <c r="K102" s="218"/>
      <c r="L102" s="218"/>
      <c r="M102" s="217"/>
      <c r="N102" s="218"/>
      <c r="P102" s="218"/>
      <c r="Q102" s="218"/>
      <c r="R102" s="218"/>
      <c r="S102" s="218"/>
      <c r="U102" s="217"/>
      <c r="X102" s="218"/>
      <c r="Y102" s="218"/>
      <c r="Z102" s="298"/>
      <c r="AA102" s="218"/>
      <c r="AB102" s="218"/>
      <c r="AC102" s="218"/>
      <c r="AD102" s="218"/>
      <c r="AE102" s="218"/>
      <c r="AF102" s="218"/>
      <c r="AG102" s="218"/>
      <c r="AH102" s="218"/>
      <c r="AJ102" s="218"/>
      <c r="AL102" s="217"/>
      <c r="AM102" s="218"/>
      <c r="AN102" s="218"/>
      <c r="AO102" s="218"/>
      <c r="AP102" s="218"/>
      <c r="AQ102" s="218"/>
      <c r="AR102" s="218"/>
      <c r="AS102" s="218"/>
      <c r="AV102" s="218"/>
      <c r="AX102" s="218"/>
      <c r="AY102" s="218"/>
      <c r="BA102" s="218"/>
      <c r="BB102" s="218"/>
      <c r="BC102" s="218"/>
      <c r="BD102" s="218"/>
      <c r="BE102" s="218"/>
      <c r="BF102" s="218"/>
      <c r="BJ102" s="39"/>
      <c r="BK102" s="39"/>
      <c r="BL102" s="39"/>
      <c r="BM102" s="39"/>
      <c r="BN102" s="39"/>
      <c r="BO102" s="209"/>
    </row>
    <row r="103" spans="1:66" s="209" customFormat="1" ht="11.25" customHeight="1">
      <c r="A103" s="288" t="s">
        <v>444</v>
      </c>
      <c r="B103" s="216">
        <f>+B87+B93+B99+B101</f>
        <v>108694277</v>
      </c>
      <c r="C103" s="216">
        <f aca="true" t="shared" si="21" ref="C103:BH103">+C87+C93+C99+C101</f>
        <v>35446877</v>
      </c>
      <c r="D103" s="216">
        <f t="shared" si="21"/>
        <v>235511</v>
      </c>
      <c r="E103" s="216">
        <f t="shared" si="21"/>
        <v>40387</v>
      </c>
      <c r="F103" s="216">
        <f t="shared" si="21"/>
        <v>122001974</v>
      </c>
      <c r="G103" s="216">
        <f t="shared" si="21"/>
        <v>63621502</v>
      </c>
      <c r="H103" s="216">
        <f t="shared" si="21"/>
        <v>56142043</v>
      </c>
      <c r="I103" s="216">
        <f t="shared" si="21"/>
        <v>51219088</v>
      </c>
      <c r="J103" s="216">
        <f t="shared" si="21"/>
        <v>910956</v>
      </c>
      <c r="K103" s="216">
        <f t="shared" si="21"/>
        <v>32242102</v>
      </c>
      <c r="L103" s="216">
        <f t="shared" si="21"/>
        <v>28202335</v>
      </c>
      <c r="M103" s="216">
        <f t="shared" si="21"/>
        <v>4920402</v>
      </c>
      <c r="N103" s="216">
        <f t="shared" si="21"/>
        <v>3112396</v>
      </c>
      <c r="O103" s="216">
        <f t="shared" si="21"/>
        <v>22526414</v>
      </c>
      <c r="P103" s="216">
        <f t="shared" si="21"/>
        <v>17932206</v>
      </c>
      <c r="Q103" s="216">
        <f t="shared" si="21"/>
        <v>4566422</v>
      </c>
      <c r="R103" s="216">
        <f t="shared" si="21"/>
        <v>17800800</v>
      </c>
      <c r="S103" s="216">
        <f t="shared" si="21"/>
        <v>1499043</v>
      </c>
      <c r="T103" s="216">
        <f t="shared" si="21"/>
        <v>15647579</v>
      </c>
      <c r="U103" s="216">
        <f t="shared" si="21"/>
        <v>15566304</v>
      </c>
      <c r="V103" s="216">
        <f t="shared" si="21"/>
        <v>14860694</v>
      </c>
      <c r="W103" s="216">
        <f t="shared" si="21"/>
        <v>282256</v>
      </c>
      <c r="X103" s="216">
        <f t="shared" si="21"/>
        <v>14195768</v>
      </c>
      <c r="Y103" s="216">
        <f t="shared" si="21"/>
        <v>13729431</v>
      </c>
      <c r="Z103" s="216">
        <f t="shared" si="21"/>
        <v>12978154</v>
      </c>
      <c r="AA103" s="216">
        <f t="shared" si="21"/>
        <v>12869794</v>
      </c>
      <c r="AB103" s="216">
        <f t="shared" si="21"/>
        <v>12715172.339000002</v>
      </c>
      <c r="AC103" s="216">
        <f t="shared" si="21"/>
        <v>10117276</v>
      </c>
      <c r="AD103" s="216">
        <f t="shared" si="21"/>
        <v>9546638</v>
      </c>
      <c r="AE103" s="216">
        <f t="shared" si="21"/>
        <v>9043587</v>
      </c>
      <c r="AF103" s="216">
        <f t="shared" si="21"/>
        <v>727539.3979999999</v>
      </c>
      <c r="AG103" s="216">
        <f t="shared" si="21"/>
        <v>6803077</v>
      </c>
      <c r="AH103" s="216">
        <f t="shared" si="21"/>
        <v>551274</v>
      </c>
      <c r="AI103" s="216">
        <f t="shared" si="21"/>
        <v>7503172</v>
      </c>
      <c r="AJ103" s="216">
        <f t="shared" si="21"/>
        <v>6409499</v>
      </c>
      <c r="AK103" s="216">
        <f t="shared" si="21"/>
        <v>471251.71700000006</v>
      </c>
      <c r="AL103" s="216">
        <f t="shared" si="21"/>
        <v>3247975</v>
      </c>
      <c r="AM103" s="216">
        <f t="shared" si="21"/>
        <v>2538387</v>
      </c>
      <c r="AN103" s="216">
        <f t="shared" si="21"/>
        <v>192101</v>
      </c>
      <c r="AO103" s="216">
        <f t="shared" si="21"/>
        <v>2672915</v>
      </c>
      <c r="AP103" s="216">
        <f t="shared" si="21"/>
        <v>2279171</v>
      </c>
      <c r="AQ103" s="216">
        <f t="shared" si="21"/>
        <v>2252809</v>
      </c>
      <c r="AR103" s="216">
        <f t="shared" si="21"/>
        <v>1605874</v>
      </c>
      <c r="AS103" s="216">
        <f t="shared" si="21"/>
        <v>132481</v>
      </c>
      <c r="AT103" s="216">
        <f t="shared" si="21"/>
        <v>1476166</v>
      </c>
      <c r="AU103" s="216">
        <f t="shared" si="21"/>
        <v>1419171.1430000002</v>
      </c>
      <c r="AV103" s="216">
        <f t="shared" si="21"/>
        <v>1371428</v>
      </c>
      <c r="AW103" s="216">
        <f t="shared" si="21"/>
        <v>1184785</v>
      </c>
      <c r="AX103" s="216">
        <f t="shared" si="21"/>
        <v>886250</v>
      </c>
      <c r="AY103" s="216">
        <f t="shared" si="21"/>
        <v>666338</v>
      </c>
      <c r="AZ103" s="216">
        <f t="shared" si="21"/>
        <v>596996</v>
      </c>
      <c r="BA103" s="216">
        <f t="shared" si="21"/>
        <v>553008</v>
      </c>
      <c r="BB103" s="216">
        <f t="shared" si="21"/>
        <v>495586</v>
      </c>
      <c r="BC103" s="216">
        <f t="shared" si="21"/>
        <v>452728.273</v>
      </c>
      <c r="BD103" s="216">
        <f t="shared" si="21"/>
        <v>368809</v>
      </c>
      <c r="BE103" s="216">
        <f t="shared" si="21"/>
        <v>199867</v>
      </c>
      <c r="BF103" s="216">
        <f t="shared" si="21"/>
        <v>97770</v>
      </c>
      <c r="BG103" s="216">
        <f t="shared" si="21"/>
        <v>59200</v>
      </c>
      <c r="BH103" s="216">
        <f t="shared" si="21"/>
        <v>8378</v>
      </c>
      <c r="BJ103" s="39">
        <f>SUM(B103:BH103)</f>
        <v>759891394.87</v>
      </c>
      <c r="BK103" s="207"/>
      <c r="BL103" s="39">
        <f t="shared" si="14"/>
        <v>141937410</v>
      </c>
      <c r="BM103" s="39">
        <f t="shared" si="15"/>
        <v>617953984.87</v>
      </c>
      <c r="BN103" s="207"/>
    </row>
    <row r="104" spans="1:67" ht="7.5" customHeight="1">
      <c r="A104" s="206"/>
      <c r="B104" s="216"/>
      <c r="C104" s="216"/>
      <c r="D104" s="216"/>
      <c r="E104" s="216"/>
      <c r="F104" s="218"/>
      <c r="G104" s="218"/>
      <c r="H104" s="218"/>
      <c r="I104" s="218"/>
      <c r="J104" s="218"/>
      <c r="K104" s="218"/>
      <c r="L104" s="218"/>
      <c r="M104" s="217"/>
      <c r="N104" s="218"/>
      <c r="P104" s="218"/>
      <c r="Q104" s="218"/>
      <c r="R104" s="218"/>
      <c r="S104" s="218"/>
      <c r="U104" s="217"/>
      <c r="X104" s="218"/>
      <c r="Y104" s="218"/>
      <c r="Z104" s="298"/>
      <c r="AA104" s="218"/>
      <c r="AB104" s="218"/>
      <c r="AC104" s="218"/>
      <c r="AD104" s="218"/>
      <c r="AE104" s="218"/>
      <c r="AF104" s="218"/>
      <c r="AG104" s="218"/>
      <c r="AH104" s="218"/>
      <c r="AJ104" s="218"/>
      <c r="AL104" s="217"/>
      <c r="AM104" s="218"/>
      <c r="AN104" s="218"/>
      <c r="AO104" s="218"/>
      <c r="AP104" s="218"/>
      <c r="AQ104" s="218"/>
      <c r="AR104" s="218"/>
      <c r="AS104" s="218"/>
      <c r="AV104" s="218"/>
      <c r="AX104" s="218"/>
      <c r="AY104" s="218"/>
      <c r="BA104" s="218"/>
      <c r="BB104" s="218"/>
      <c r="BC104" s="218"/>
      <c r="BD104" s="218"/>
      <c r="BE104" s="218"/>
      <c r="BF104" s="218"/>
      <c r="BJ104" s="39"/>
      <c r="BK104" s="39"/>
      <c r="BL104" s="39"/>
      <c r="BM104" s="39"/>
      <c r="BN104" s="39"/>
      <c r="BO104" s="209"/>
    </row>
    <row r="105" spans="1:67" ht="11.25" customHeight="1">
      <c r="A105" s="235" t="s">
        <v>442</v>
      </c>
      <c r="B105" s="216"/>
      <c r="C105" s="216"/>
      <c r="D105" s="216"/>
      <c r="E105" s="216"/>
      <c r="F105" s="218"/>
      <c r="G105" s="218"/>
      <c r="H105" s="218"/>
      <c r="I105" s="218"/>
      <c r="J105" s="218"/>
      <c r="K105" s="218"/>
      <c r="L105" s="218"/>
      <c r="M105" s="217"/>
      <c r="N105" s="218"/>
      <c r="P105" s="218"/>
      <c r="Q105" s="218"/>
      <c r="R105" s="218"/>
      <c r="S105" s="218"/>
      <c r="U105" s="217"/>
      <c r="X105" s="218"/>
      <c r="Y105" s="218"/>
      <c r="Z105" s="236"/>
      <c r="AA105" s="218"/>
      <c r="AB105" s="218"/>
      <c r="AC105" s="218"/>
      <c r="AD105" s="218"/>
      <c r="AE105" s="218"/>
      <c r="AF105" s="218"/>
      <c r="AG105" s="218"/>
      <c r="AH105" s="218"/>
      <c r="AJ105" s="218"/>
      <c r="AL105" s="217"/>
      <c r="AM105" s="218"/>
      <c r="AN105" s="218"/>
      <c r="AO105" s="218"/>
      <c r="AP105" s="218"/>
      <c r="AQ105" s="218"/>
      <c r="AR105" s="218"/>
      <c r="AS105" s="218"/>
      <c r="AV105" s="218"/>
      <c r="AX105" s="218"/>
      <c r="AY105" s="218"/>
      <c r="BA105" s="218"/>
      <c r="BB105" s="218"/>
      <c r="BC105" s="218"/>
      <c r="BD105" s="218"/>
      <c r="BE105" s="218"/>
      <c r="BF105" s="218"/>
      <c r="BJ105" s="39"/>
      <c r="BK105" s="39"/>
      <c r="BL105" s="39"/>
      <c r="BM105" s="39"/>
      <c r="BN105" s="39"/>
      <c r="BO105" s="209"/>
    </row>
    <row r="106" spans="1:67" ht="11.25" customHeight="1">
      <c r="A106" s="212" t="s">
        <v>430</v>
      </c>
      <c r="B106" s="216">
        <v>24579</v>
      </c>
      <c r="C106" s="216">
        <v>6369</v>
      </c>
      <c r="D106" s="216">
        <v>322</v>
      </c>
      <c r="E106" s="216">
        <v>56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299">
        <v>2867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0</v>
      </c>
      <c r="BA106" s="39">
        <v>0</v>
      </c>
      <c r="BB106" s="39">
        <v>0</v>
      </c>
      <c r="BC106" s="39">
        <v>0</v>
      </c>
      <c r="BD106" s="39">
        <v>0</v>
      </c>
      <c r="BE106" s="39">
        <v>0</v>
      </c>
      <c r="BF106" s="39">
        <v>0</v>
      </c>
      <c r="BG106" s="39">
        <v>0</v>
      </c>
      <c r="BH106" s="39">
        <v>0</v>
      </c>
      <c r="BJ106" s="39">
        <f>SUM(B106:BH106)</f>
        <v>34193</v>
      </c>
      <c r="BK106" s="39"/>
      <c r="BL106" s="39">
        <f t="shared" si="14"/>
        <v>27824</v>
      </c>
      <c r="BM106" s="39">
        <f t="shared" si="15"/>
        <v>6369</v>
      </c>
      <c r="BN106" s="39"/>
      <c r="BO106" s="209"/>
    </row>
    <row r="107" spans="1:67" ht="11.25" customHeight="1">
      <c r="A107" s="212"/>
      <c r="B107" s="216"/>
      <c r="C107" s="216"/>
      <c r="D107" s="216"/>
      <c r="E107" s="216"/>
      <c r="F107" s="218"/>
      <c r="G107" s="218"/>
      <c r="H107" s="39"/>
      <c r="I107" s="218"/>
      <c r="J107" s="218"/>
      <c r="K107" s="39"/>
      <c r="L107" s="218"/>
      <c r="M107" s="217"/>
      <c r="N107" s="218"/>
      <c r="P107" s="218"/>
      <c r="Q107" s="218"/>
      <c r="R107" s="218"/>
      <c r="S107" s="218"/>
      <c r="U107" s="217"/>
      <c r="X107" s="218"/>
      <c r="Y107" s="218"/>
      <c r="Z107" s="298"/>
      <c r="AA107" s="218"/>
      <c r="AB107" s="218"/>
      <c r="AC107" s="218"/>
      <c r="AD107" s="218"/>
      <c r="AE107" s="218"/>
      <c r="AF107" s="218"/>
      <c r="AG107" s="218"/>
      <c r="AH107" s="218"/>
      <c r="AJ107" s="218"/>
      <c r="AL107" s="217"/>
      <c r="AM107" s="218"/>
      <c r="AN107" s="218"/>
      <c r="AO107" s="218"/>
      <c r="AP107" s="218"/>
      <c r="AQ107" s="218"/>
      <c r="AR107" s="218"/>
      <c r="AS107" s="218"/>
      <c r="AV107" s="218"/>
      <c r="AX107" s="218"/>
      <c r="AY107" s="218"/>
      <c r="BA107" s="218"/>
      <c r="BB107" s="218"/>
      <c r="BC107" s="218"/>
      <c r="BD107" s="218"/>
      <c r="BE107" s="218"/>
      <c r="BF107" s="218"/>
      <c r="BJ107" s="39"/>
      <c r="BK107" s="39"/>
      <c r="BL107" s="39"/>
      <c r="BM107" s="39"/>
      <c r="BN107" s="39"/>
      <c r="BO107" s="209"/>
    </row>
    <row r="108" spans="1:67" ht="11.25" customHeight="1" outlineLevel="1">
      <c r="A108" s="212" t="s">
        <v>515</v>
      </c>
      <c r="B108" s="216"/>
      <c r="C108" s="216"/>
      <c r="D108" s="216"/>
      <c r="E108" s="216"/>
      <c r="F108" s="218"/>
      <c r="G108" s="218"/>
      <c r="H108" s="218"/>
      <c r="I108" s="218"/>
      <c r="J108" s="218"/>
      <c r="K108" s="218"/>
      <c r="L108" s="218"/>
      <c r="M108" s="217"/>
      <c r="N108" s="218"/>
      <c r="P108" s="218"/>
      <c r="Q108" s="218"/>
      <c r="R108" s="218"/>
      <c r="S108" s="218"/>
      <c r="U108" s="217"/>
      <c r="X108" s="218"/>
      <c r="Y108" s="218"/>
      <c r="Z108" s="298"/>
      <c r="AA108" s="218"/>
      <c r="AB108" s="218"/>
      <c r="AC108" s="218"/>
      <c r="AD108" s="218"/>
      <c r="AE108" s="218"/>
      <c r="AF108" s="218"/>
      <c r="AG108" s="218"/>
      <c r="AH108" s="218"/>
      <c r="AJ108" s="218"/>
      <c r="AL108" s="217"/>
      <c r="AM108" s="218"/>
      <c r="AN108" s="218"/>
      <c r="AO108" s="218"/>
      <c r="AP108" s="218"/>
      <c r="AQ108" s="218"/>
      <c r="AR108" s="218"/>
      <c r="AS108" s="218"/>
      <c r="AV108" s="218"/>
      <c r="AX108" s="218"/>
      <c r="AY108" s="218"/>
      <c r="BA108" s="218"/>
      <c r="BB108" s="218"/>
      <c r="BC108" s="218"/>
      <c r="BD108" s="218"/>
      <c r="BE108" s="218"/>
      <c r="BF108" s="218"/>
      <c r="BJ108" s="39"/>
      <c r="BK108" s="39"/>
      <c r="BL108" s="39"/>
      <c r="BM108" s="39"/>
      <c r="BN108" s="39"/>
      <c r="BO108" s="209"/>
    </row>
    <row r="109" spans="1:67" ht="11.25" customHeight="1" outlineLevel="1">
      <c r="A109" s="206" t="s">
        <v>265</v>
      </c>
      <c r="B109" s="216">
        <v>0</v>
      </c>
      <c r="C109" s="216">
        <v>0</v>
      </c>
      <c r="D109" s="216">
        <v>0</v>
      </c>
      <c r="E109" s="216">
        <v>0</v>
      </c>
      <c r="F109" s="216">
        <v>0</v>
      </c>
      <c r="G109" s="216">
        <v>27110</v>
      </c>
      <c r="H109" s="218">
        <v>0</v>
      </c>
      <c r="I109" s="218">
        <v>0</v>
      </c>
      <c r="J109" s="218">
        <v>0</v>
      </c>
      <c r="K109" s="216">
        <v>82718</v>
      </c>
      <c r="L109" s="216">
        <v>0</v>
      </c>
      <c r="M109" s="216">
        <v>0</v>
      </c>
      <c r="N109" s="216">
        <v>0</v>
      </c>
      <c r="O109" s="216">
        <v>0</v>
      </c>
      <c r="P109" s="216">
        <v>0</v>
      </c>
      <c r="Q109" s="216">
        <v>0</v>
      </c>
      <c r="R109" s="216">
        <v>0</v>
      </c>
      <c r="S109" s="216">
        <v>0</v>
      </c>
      <c r="T109" s="216">
        <v>0</v>
      </c>
      <c r="U109" s="216">
        <v>0</v>
      </c>
      <c r="V109" s="216">
        <v>0</v>
      </c>
      <c r="W109" s="216">
        <v>0</v>
      </c>
      <c r="X109" s="216">
        <v>0</v>
      </c>
      <c r="Y109" s="216">
        <v>0</v>
      </c>
      <c r="Z109" s="216">
        <v>0</v>
      </c>
      <c r="AA109" s="216">
        <v>0</v>
      </c>
      <c r="AB109" s="216">
        <v>0</v>
      </c>
      <c r="AC109" s="216">
        <v>0</v>
      </c>
      <c r="AD109" s="216">
        <v>0</v>
      </c>
      <c r="AE109" s="216">
        <v>0</v>
      </c>
      <c r="AF109" s="216">
        <v>0</v>
      </c>
      <c r="AG109" s="216">
        <v>0</v>
      </c>
      <c r="AH109" s="216">
        <v>0</v>
      </c>
      <c r="AI109" s="39">
        <v>0</v>
      </c>
      <c r="AJ109" s="216">
        <v>0</v>
      </c>
      <c r="AK109" s="216">
        <v>0</v>
      </c>
      <c r="AL109" s="216">
        <v>0</v>
      </c>
      <c r="AM109" s="216">
        <v>0</v>
      </c>
      <c r="AN109" s="216">
        <v>0</v>
      </c>
      <c r="AO109" s="216">
        <v>0</v>
      </c>
      <c r="AP109" s="216">
        <v>0</v>
      </c>
      <c r="AQ109" s="216">
        <v>0</v>
      </c>
      <c r="AR109" s="216">
        <v>0</v>
      </c>
      <c r="AS109" s="216">
        <v>0</v>
      </c>
      <c r="AT109" s="216">
        <v>0</v>
      </c>
      <c r="AU109" s="216">
        <v>0</v>
      </c>
      <c r="AV109" s="216">
        <v>0</v>
      </c>
      <c r="AW109" s="216">
        <v>0</v>
      </c>
      <c r="AX109" s="216">
        <v>0</v>
      </c>
      <c r="AY109" s="216">
        <v>0</v>
      </c>
      <c r="AZ109" s="216">
        <v>0</v>
      </c>
      <c r="BA109" s="216">
        <v>0</v>
      </c>
      <c r="BB109" s="216">
        <v>0</v>
      </c>
      <c r="BC109" s="216">
        <v>0</v>
      </c>
      <c r="BD109" s="216">
        <v>0</v>
      </c>
      <c r="BE109" s="216">
        <v>0</v>
      </c>
      <c r="BF109" s="216">
        <v>0</v>
      </c>
      <c r="BG109" s="216">
        <v>0</v>
      </c>
      <c r="BH109" s="216">
        <v>0</v>
      </c>
      <c r="BJ109" s="39">
        <f>SUM(B109:BH109)</f>
        <v>109828</v>
      </c>
      <c r="BK109" s="39"/>
      <c r="BL109" s="39">
        <f t="shared" si="14"/>
        <v>0</v>
      </c>
      <c r="BM109" s="39">
        <f t="shared" si="15"/>
        <v>109828</v>
      </c>
      <c r="BN109" s="39"/>
      <c r="BO109" s="209"/>
    </row>
    <row r="110" spans="1:67" ht="11.25" customHeight="1" outlineLevel="1">
      <c r="A110" s="206" t="s">
        <v>266</v>
      </c>
      <c r="B110" s="216">
        <v>127181</v>
      </c>
      <c r="C110" s="216">
        <v>0</v>
      </c>
      <c r="D110" s="216">
        <v>0</v>
      </c>
      <c r="E110" s="216">
        <v>0</v>
      </c>
      <c r="F110" s="216">
        <v>0</v>
      </c>
      <c r="G110" s="216">
        <v>0</v>
      </c>
      <c r="H110" s="218">
        <v>0</v>
      </c>
      <c r="I110" s="218">
        <v>0</v>
      </c>
      <c r="J110" s="218">
        <v>0</v>
      </c>
      <c r="K110" s="216">
        <v>411070</v>
      </c>
      <c r="L110" s="216">
        <v>0</v>
      </c>
      <c r="M110" s="216">
        <v>0</v>
      </c>
      <c r="N110" s="216">
        <v>0</v>
      </c>
      <c r="O110" s="216">
        <v>0</v>
      </c>
      <c r="P110" s="216">
        <v>0</v>
      </c>
      <c r="Q110" s="216">
        <v>0</v>
      </c>
      <c r="R110" s="216">
        <v>0</v>
      </c>
      <c r="S110" s="216">
        <v>0</v>
      </c>
      <c r="T110" s="216">
        <v>0</v>
      </c>
      <c r="U110" s="216">
        <v>0</v>
      </c>
      <c r="V110" s="216">
        <v>3837</v>
      </c>
      <c r="W110" s="216">
        <v>0</v>
      </c>
      <c r="X110" s="216">
        <v>0</v>
      </c>
      <c r="Y110" s="216">
        <v>0</v>
      </c>
      <c r="Z110" s="298">
        <v>37104</v>
      </c>
      <c r="AA110" s="216">
        <v>0</v>
      </c>
      <c r="AB110" s="216">
        <v>0</v>
      </c>
      <c r="AC110" s="216">
        <v>0</v>
      </c>
      <c r="AD110" s="216">
        <v>0</v>
      </c>
      <c r="AE110" s="216">
        <v>0</v>
      </c>
      <c r="AF110" s="216">
        <v>0</v>
      </c>
      <c r="AG110" s="216">
        <v>0</v>
      </c>
      <c r="AH110" s="216">
        <v>0</v>
      </c>
      <c r="AI110" s="39">
        <v>0</v>
      </c>
      <c r="AJ110" s="216">
        <v>0</v>
      </c>
      <c r="AK110" s="216">
        <v>0</v>
      </c>
      <c r="AL110" s="216">
        <v>0</v>
      </c>
      <c r="AM110" s="216">
        <v>0</v>
      </c>
      <c r="AN110" s="216">
        <v>0</v>
      </c>
      <c r="AO110" s="216">
        <v>0</v>
      </c>
      <c r="AP110" s="216">
        <v>0</v>
      </c>
      <c r="AQ110" s="216">
        <v>0</v>
      </c>
      <c r="AR110" s="216">
        <v>0</v>
      </c>
      <c r="AS110" s="216">
        <v>0</v>
      </c>
      <c r="AT110" s="216">
        <v>0</v>
      </c>
      <c r="AU110" s="216">
        <v>0</v>
      </c>
      <c r="AV110" s="216">
        <v>0</v>
      </c>
      <c r="AW110" s="216">
        <v>0</v>
      </c>
      <c r="AX110" s="216">
        <v>0</v>
      </c>
      <c r="AY110" s="216">
        <v>1085</v>
      </c>
      <c r="AZ110" s="216">
        <v>0</v>
      </c>
      <c r="BA110" s="216">
        <v>0</v>
      </c>
      <c r="BB110" s="216">
        <v>0</v>
      </c>
      <c r="BC110" s="216">
        <v>0</v>
      </c>
      <c r="BD110" s="216">
        <v>0</v>
      </c>
      <c r="BE110" s="216">
        <v>0</v>
      </c>
      <c r="BF110" s="216">
        <v>0</v>
      </c>
      <c r="BG110" s="216">
        <v>0</v>
      </c>
      <c r="BH110" s="216">
        <v>0</v>
      </c>
      <c r="BJ110" s="39">
        <f>SUM(B110:BH110)</f>
        <v>580277</v>
      </c>
      <c r="BK110" s="39"/>
      <c r="BL110" s="39">
        <f t="shared" si="14"/>
        <v>164285</v>
      </c>
      <c r="BM110" s="39">
        <f t="shared" si="15"/>
        <v>415992</v>
      </c>
      <c r="BN110" s="39"/>
      <c r="BO110" s="209"/>
    </row>
    <row r="111" spans="1:67" ht="11.25" customHeight="1" outlineLevel="1">
      <c r="A111" s="39" t="s">
        <v>267</v>
      </c>
      <c r="B111" s="216">
        <v>0</v>
      </c>
      <c r="C111" s="216">
        <v>0</v>
      </c>
      <c r="D111" s="216">
        <v>0</v>
      </c>
      <c r="E111" s="216">
        <v>0</v>
      </c>
      <c r="F111" s="216">
        <v>0</v>
      </c>
      <c r="G111" s="216">
        <v>0</v>
      </c>
      <c r="H111" s="218">
        <v>0</v>
      </c>
      <c r="I111" s="218">
        <v>0</v>
      </c>
      <c r="J111" s="218">
        <v>0</v>
      </c>
      <c r="K111" s="216">
        <v>0</v>
      </c>
      <c r="L111" s="216">
        <v>0</v>
      </c>
      <c r="M111" s="216">
        <v>0</v>
      </c>
      <c r="N111" s="216">
        <v>0</v>
      </c>
      <c r="O111" s="216">
        <v>0</v>
      </c>
      <c r="P111" s="216">
        <v>0</v>
      </c>
      <c r="Q111" s="216">
        <v>0</v>
      </c>
      <c r="R111" s="216">
        <v>0</v>
      </c>
      <c r="S111" s="216">
        <v>0</v>
      </c>
      <c r="T111" s="216">
        <v>0</v>
      </c>
      <c r="U111" s="216">
        <v>0</v>
      </c>
      <c r="V111" s="216">
        <v>0</v>
      </c>
      <c r="W111" s="216">
        <v>0</v>
      </c>
      <c r="X111" s="216">
        <v>0</v>
      </c>
      <c r="Y111" s="216">
        <v>0</v>
      </c>
      <c r="Z111" s="299">
        <v>0</v>
      </c>
      <c r="AA111" s="216">
        <v>0</v>
      </c>
      <c r="AB111" s="216">
        <v>0</v>
      </c>
      <c r="AC111" s="216">
        <v>0</v>
      </c>
      <c r="AD111" s="216">
        <v>0</v>
      </c>
      <c r="AE111" s="216">
        <v>0</v>
      </c>
      <c r="AF111" s="216">
        <v>0</v>
      </c>
      <c r="AG111" s="216">
        <v>0</v>
      </c>
      <c r="AH111" s="216">
        <v>0</v>
      </c>
      <c r="AI111" s="39">
        <v>0</v>
      </c>
      <c r="AJ111" s="216">
        <v>0</v>
      </c>
      <c r="AK111" s="216">
        <v>0</v>
      </c>
      <c r="AL111" s="216">
        <v>0</v>
      </c>
      <c r="AM111" s="216">
        <v>0</v>
      </c>
      <c r="AN111" s="216">
        <v>0</v>
      </c>
      <c r="AO111" s="216">
        <v>0</v>
      </c>
      <c r="AP111" s="216">
        <v>0</v>
      </c>
      <c r="AQ111" s="216">
        <v>0</v>
      </c>
      <c r="AR111" s="216">
        <v>0</v>
      </c>
      <c r="AS111" s="216">
        <v>0</v>
      </c>
      <c r="AT111" s="216">
        <v>0</v>
      </c>
      <c r="AU111" s="216">
        <v>0</v>
      </c>
      <c r="AV111" s="216">
        <v>0</v>
      </c>
      <c r="AW111" s="216">
        <v>0</v>
      </c>
      <c r="AX111" s="216">
        <v>0</v>
      </c>
      <c r="AY111" s="216">
        <v>0</v>
      </c>
      <c r="AZ111" s="216">
        <v>0</v>
      </c>
      <c r="BA111" s="216">
        <v>0</v>
      </c>
      <c r="BB111" s="216">
        <v>0</v>
      </c>
      <c r="BC111" s="216">
        <v>0</v>
      </c>
      <c r="BD111" s="216">
        <v>0</v>
      </c>
      <c r="BE111" s="216">
        <v>0</v>
      </c>
      <c r="BF111" s="216">
        <v>0</v>
      </c>
      <c r="BG111" s="216">
        <v>0</v>
      </c>
      <c r="BH111" s="216">
        <v>0</v>
      </c>
      <c r="BJ111" s="39">
        <f>SUM(B111:BH111)</f>
        <v>0</v>
      </c>
      <c r="BK111" s="39"/>
      <c r="BL111" s="39">
        <f t="shared" si="14"/>
        <v>0</v>
      </c>
      <c r="BM111" s="39">
        <f t="shared" si="15"/>
        <v>0</v>
      </c>
      <c r="BN111" s="39"/>
      <c r="BO111" s="209"/>
    </row>
    <row r="112" spans="1:67" ht="11.25" customHeight="1" outlineLevel="1">
      <c r="A112" s="39" t="s">
        <v>268</v>
      </c>
      <c r="B112" s="216">
        <v>325367</v>
      </c>
      <c r="C112" s="216">
        <v>814</v>
      </c>
      <c r="D112" s="216">
        <v>504</v>
      </c>
      <c r="E112" s="216">
        <v>0</v>
      </c>
      <c r="F112" s="216">
        <v>267306</v>
      </c>
      <c r="G112" s="216">
        <v>115713</v>
      </c>
      <c r="H112" s="216">
        <v>20764</v>
      </c>
      <c r="I112" s="216">
        <v>870503</v>
      </c>
      <c r="J112" s="216">
        <v>0</v>
      </c>
      <c r="K112" s="216">
        <v>49714</v>
      </c>
      <c r="L112" s="216">
        <v>730</v>
      </c>
      <c r="M112" s="216">
        <v>2026</v>
      </c>
      <c r="N112" s="216">
        <v>1181</v>
      </c>
      <c r="O112" s="216">
        <v>81682</v>
      </c>
      <c r="P112" s="216">
        <v>28859</v>
      </c>
      <c r="Q112" s="216">
        <v>13</v>
      </c>
      <c r="R112" s="216">
        <v>11853</v>
      </c>
      <c r="S112" s="216">
        <v>0</v>
      </c>
      <c r="T112" s="216">
        <v>2022</v>
      </c>
      <c r="U112" s="216">
        <v>2130</v>
      </c>
      <c r="V112" s="216">
        <v>44852</v>
      </c>
      <c r="W112" s="216">
        <v>0</v>
      </c>
      <c r="X112" s="216">
        <v>6036</v>
      </c>
      <c r="Y112" s="216">
        <v>12041</v>
      </c>
      <c r="Z112" s="298">
        <v>626</v>
      </c>
      <c r="AA112" s="216">
        <v>6069</v>
      </c>
      <c r="AB112" s="216">
        <v>8764.867</v>
      </c>
      <c r="AC112" s="216">
        <v>72805</v>
      </c>
      <c r="AD112" s="216">
        <v>2514</v>
      </c>
      <c r="AE112" s="216">
        <v>7611</v>
      </c>
      <c r="AF112" s="216">
        <v>8559.935</v>
      </c>
      <c r="AG112" s="216">
        <v>6456</v>
      </c>
      <c r="AH112" s="216">
        <v>509</v>
      </c>
      <c r="AI112" s="39">
        <v>600</v>
      </c>
      <c r="AJ112" s="216">
        <v>0</v>
      </c>
      <c r="AK112" s="216">
        <v>154.086</v>
      </c>
      <c r="AL112" s="216">
        <v>0</v>
      </c>
      <c r="AM112" s="216">
        <v>2127</v>
      </c>
      <c r="AN112" s="216">
        <v>189</v>
      </c>
      <c r="AO112" s="216">
        <v>1160</v>
      </c>
      <c r="AP112" s="216"/>
      <c r="AQ112" s="216">
        <v>950</v>
      </c>
      <c r="AR112" s="216">
        <v>4425</v>
      </c>
      <c r="AS112" s="216">
        <v>1500</v>
      </c>
      <c r="AT112" s="216">
        <v>696</v>
      </c>
      <c r="AU112" s="216">
        <v>1369.305</v>
      </c>
      <c r="AV112" s="216">
        <v>3001</v>
      </c>
      <c r="AW112" s="39">
        <v>2035</v>
      </c>
      <c r="AX112" s="216">
        <v>1044</v>
      </c>
      <c r="AY112" s="216">
        <v>0</v>
      </c>
      <c r="AZ112" s="216">
        <v>1890</v>
      </c>
      <c r="BA112" s="216">
        <v>2090</v>
      </c>
      <c r="BB112" s="216">
        <v>1362</v>
      </c>
      <c r="BC112" s="216">
        <v>0</v>
      </c>
      <c r="BD112" s="216">
        <v>2391</v>
      </c>
      <c r="BE112" s="216">
        <v>4477</v>
      </c>
      <c r="BF112" s="216">
        <v>0</v>
      </c>
      <c r="BG112" s="216">
        <v>45296</v>
      </c>
      <c r="BH112" s="216">
        <v>34</v>
      </c>
      <c r="BJ112" s="39">
        <f>SUM(B112:BH112)</f>
        <v>2034815.193</v>
      </c>
      <c r="BK112" s="39"/>
      <c r="BL112" s="39">
        <f t="shared" si="14"/>
        <v>461945</v>
      </c>
      <c r="BM112" s="39">
        <f t="shared" si="15"/>
        <v>1572870.193</v>
      </c>
      <c r="BN112" s="39"/>
      <c r="BO112" s="209"/>
    </row>
    <row r="113" spans="1:67" ht="11.25" customHeight="1">
      <c r="A113" s="212" t="s">
        <v>269</v>
      </c>
      <c r="B113" s="216">
        <f>SUM(B109:B112)</f>
        <v>452548</v>
      </c>
      <c r="C113" s="216">
        <f aca="true" t="shared" si="22" ref="C113:BH113">SUM(C109:C112)</f>
        <v>814</v>
      </c>
      <c r="D113" s="216">
        <f t="shared" si="22"/>
        <v>504</v>
      </c>
      <c r="E113" s="216">
        <f t="shared" si="22"/>
        <v>0</v>
      </c>
      <c r="F113" s="216">
        <f t="shared" si="22"/>
        <v>267306</v>
      </c>
      <c r="G113" s="216">
        <f t="shared" si="22"/>
        <v>142823</v>
      </c>
      <c r="H113" s="216">
        <f t="shared" si="22"/>
        <v>20764</v>
      </c>
      <c r="I113" s="216">
        <f t="shared" si="22"/>
        <v>870503</v>
      </c>
      <c r="J113" s="216">
        <f t="shared" si="22"/>
        <v>0</v>
      </c>
      <c r="K113" s="216">
        <f t="shared" si="22"/>
        <v>543502</v>
      </c>
      <c r="L113" s="216">
        <f t="shared" si="22"/>
        <v>730</v>
      </c>
      <c r="M113" s="216">
        <f t="shared" si="22"/>
        <v>2026</v>
      </c>
      <c r="N113" s="216">
        <f t="shared" si="22"/>
        <v>1181</v>
      </c>
      <c r="O113" s="216">
        <f t="shared" si="22"/>
        <v>81682</v>
      </c>
      <c r="P113" s="216">
        <f t="shared" si="22"/>
        <v>28859</v>
      </c>
      <c r="Q113" s="216">
        <f t="shared" si="22"/>
        <v>13</v>
      </c>
      <c r="R113" s="216">
        <f t="shared" si="22"/>
        <v>11853</v>
      </c>
      <c r="S113" s="216">
        <f t="shared" si="22"/>
        <v>0</v>
      </c>
      <c r="T113" s="216">
        <f t="shared" si="22"/>
        <v>2022</v>
      </c>
      <c r="U113" s="216">
        <f t="shared" si="22"/>
        <v>2130</v>
      </c>
      <c r="V113" s="216">
        <f t="shared" si="22"/>
        <v>48689</v>
      </c>
      <c r="W113" s="216">
        <f t="shared" si="22"/>
        <v>0</v>
      </c>
      <c r="X113" s="216">
        <f t="shared" si="22"/>
        <v>6036</v>
      </c>
      <c r="Y113" s="216">
        <f t="shared" si="22"/>
        <v>12041</v>
      </c>
      <c r="Z113" s="216">
        <f t="shared" si="22"/>
        <v>37730</v>
      </c>
      <c r="AA113" s="216">
        <f t="shared" si="22"/>
        <v>6069</v>
      </c>
      <c r="AB113" s="216">
        <f t="shared" si="22"/>
        <v>8764.867</v>
      </c>
      <c r="AC113" s="216">
        <f t="shared" si="22"/>
        <v>72805</v>
      </c>
      <c r="AD113" s="216">
        <f t="shared" si="22"/>
        <v>2514</v>
      </c>
      <c r="AE113" s="216">
        <f t="shared" si="22"/>
        <v>7611</v>
      </c>
      <c r="AF113" s="216">
        <f t="shared" si="22"/>
        <v>8559.935</v>
      </c>
      <c r="AG113" s="216">
        <f t="shared" si="22"/>
        <v>6456</v>
      </c>
      <c r="AH113" s="216">
        <f t="shared" si="22"/>
        <v>509</v>
      </c>
      <c r="AI113" s="216">
        <f t="shared" si="22"/>
        <v>600</v>
      </c>
      <c r="AJ113" s="216">
        <f t="shared" si="22"/>
        <v>0</v>
      </c>
      <c r="AK113" s="216">
        <f t="shared" si="22"/>
        <v>154.086</v>
      </c>
      <c r="AL113" s="216">
        <f t="shared" si="22"/>
        <v>0</v>
      </c>
      <c r="AM113" s="216">
        <f t="shared" si="22"/>
        <v>2127</v>
      </c>
      <c r="AN113" s="216">
        <f t="shared" si="22"/>
        <v>189</v>
      </c>
      <c r="AO113" s="216">
        <f t="shared" si="22"/>
        <v>1160</v>
      </c>
      <c r="AP113" s="216">
        <f t="shared" si="22"/>
        <v>0</v>
      </c>
      <c r="AQ113" s="216">
        <f t="shared" si="22"/>
        <v>950</v>
      </c>
      <c r="AR113" s="216">
        <f t="shared" si="22"/>
        <v>4425</v>
      </c>
      <c r="AS113" s="216">
        <f t="shared" si="22"/>
        <v>1500</v>
      </c>
      <c r="AT113" s="216">
        <f t="shared" si="22"/>
        <v>696</v>
      </c>
      <c r="AU113" s="216">
        <f t="shared" si="22"/>
        <v>1369.305</v>
      </c>
      <c r="AV113" s="216">
        <f t="shared" si="22"/>
        <v>3001</v>
      </c>
      <c r="AW113" s="216">
        <f t="shared" si="22"/>
        <v>2035</v>
      </c>
      <c r="AX113" s="216">
        <f t="shared" si="22"/>
        <v>1044</v>
      </c>
      <c r="AY113" s="216">
        <f t="shared" si="22"/>
        <v>1085</v>
      </c>
      <c r="AZ113" s="216">
        <f t="shared" si="22"/>
        <v>1890</v>
      </c>
      <c r="BA113" s="216">
        <f t="shared" si="22"/>
        <v>2090</v>
      </c>
      <c r="BB113" s="216">
        <f t="shared" si="22"/>
        <v>1362</v>
      </c>
      <c r="BC113" s="216">
        <f t="shared" si="22"/>
        <v>0</v>
      </c>
      <c r="BD113" s="216">
        <f t="shared" si="22"/>
        <v>2391</v>
      </c>
      <c r="BE113" s="216">
        <f t="shared" si="22"/>
        <v>4477</v>
      </c>
      <c r="BF113" s="216">
        <f t="shared" si="22"/>
        <v>0</v>
      </c>
      <c r="BG113" s="216">
        <f t="shared" si="22"/>
        <v>45296</v>
      </c>
      <c r="BH113" s="216">
        <f t="shared" si="22"/>
        <v>34</v>
      </c>
      <c r="BJ113" s="39">
        <f>SUM(B113:BH113)</f>
        <v>2724920.1930000004</v>
      </c>
      <c r="BK113" s="39"/>
      <c r="BL113" s="39">
        <f t="shared" si="14"/>
        <v>626230</v>
      </c>
      <c r="BM113" s="39">
        <f t="shared" si="15"/>
        <v>2098690.193</v>
      </c>
      <c r="BN113" s="39"/>
      <c r="BO113" s="209"/>
    </row>
    <row r="114" spans="1:67" ht="11.25" customHeight="1">
      <c r="A114" s="212"/>
      <c r="B114" s="216"/>
      <c r="C114" s="216"/>
      <c r="D114" s="216"/>
      <c r="E114" s="216"/>
      <c r="F114" s="218"/>
      <c r="G114" s="218"/>
      <c r="H114" s="218"/>
      <c r="I114" s="218"/>
      <c r="J114" s="218"/>
      <c r="K114" s="218"/>
      <c r="L114" s="218"/>
      <c r="M114" s="216"/>
      <c r="N114" s="218"/>
      <c r="P114" s="218"/>
      <c r="Q114" s="218"/>
      <c r="R114" s="218"/>
      <c r="S114" s="218"/>
      <c r="U114" s="217"/>
      <c r="X114" s="218"/>
      <c r="Y114" s="218"/>
      <c r="Z114" s="297"/>
      <c r="AA114" s="218"/>
      <c r="AB114" s="218"/>
      <c r="AC114" s="218"/>
      <c r="AD114" s="218"/>
      <c r="AE114" s="218"/>
      <c r="AF114" s="218"/>
      <c r="AG114" s="218"/>
      <c r="AH114" s="218"/>
      <c r="AJ114" s="218"/>
      <c r="AL114" s="217"/>
      <c r="AM114" s="218"/>
      <c r="AN114" s="218"/>
      <c r="AO114" s="218"/>
      <c r="AP114" s="218"/>
      <c r="AQ114" s="218"/>
      <c r="AR114" s="218"/>
      <c r="AS114" s="218"/>
      <c r="AV114" s="218"/>
      <c r="AW114" s="39"/>
      <c r="AX114" s="218"/>
      <c r="AY114" s="218"/>
      <c r="BA114" s="218"/>
      <c r="BB114" s="218"/>
      <c r="BC114" s="218"/>
      <c r="BD114" s="218"/>
      <c r="BE114" s="218"/>
      <c r="BF114" s="218"/>
      <c r="BJ114" s="39"/>
      <c r="BK114" s="39"/>
      <c r="BL114" s="39"/>
      <c r="BM114" s="39"/>
      <c r="BN114" s="39"/>
      <c r="BO114" s="209"/>
    </row>
    <row r="115" spans="1:67" ht="11.25" customHeight="1">
      <c r="A115" s="212" t="s">
        <v>431</v>
      </c>
      <c r="B115" s="216">
        <v>0</v>
      </c>
      <c r="C115" s="216">
        <v>0</v>
      </c>
      <c r="D115" s="216">
        <v>0</v>
      </c>
      <c r="E115" s="216">
        <v>0</v>
      </c>
      <c r="F115" s="39">
        <v>0</v>
      </c>
      <c r="G115" s="39">
        <v>0</v>
      </c>
      <c r="H115" s="39">
        <v>4592</v>
      </c>
      <c r="I115" s="39">
        <v>12033</v>
      </c>
      <c r="J115" s="39">
        <v>0</v>
      </c>
      <c r="K115" s="39">
        <v>0</v>
      </c>
      <c r="L115" s="39">
        <v>0</v>
      </c>
      <c r="M115" s="216">
        <v>0</v>
      </c>
      <c r="N115" s="216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9677.001</v>
      </c>
      <c r="AC115" s="39">
        <v>0</v>
      </c>
      <c r="AD115" s="39">
        <v>0</v>
      </c>
      <c r="AE115" s="39">
        <v>9200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990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205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7267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J115" s="39">
        <f>SUM(B115:BH115)</f>
        <v>43759.001000000004</v>
      </c>
      <c r="BK115" s="39"/>
      <c r="BL115" s="39">
        <f t="shared" si="14"/>
        <v>0</v>
      </c>
      <c r="BM115" s="39">
        <f t="shared" si="15"/>
        <v>43759.001000000004</v>
      </c>
      <c r="BN115" s="39"/>
      <c r="BO115" s="209"/>
    </row>
    <row r="116" spans="1:67" ht="11.25" customHeight="1">
      <c r="A116" s="207"/>
      <c r="B116" s="216"/>
      <c r="C116" s="216"/>
      <c r="D116" s="216"/>
      <c r="E116" s="216"/>
      <c r="F116" s="218"/>
      <c r="G116" s="218"/>
      <c r="H116" s="218"/>
      <c r="I116" s="218"/>
      <c r="J116" s="218"/>
      <c r="K116" s="218"/>
      <c r="L116" s="218"/>
      <c r="M116" s="216"/>
      <c r="N116" s="218"/>
      <c r="P116" s="218"/>
      <c r="Q116" s="218"/>
      <c r="R116" s="218"/>
      <c r="S116" s="218"/>
      <c r="U116" s="217"/>
      <c r="X116" s="218"/>
      <c r="Y116" s="218"/>
      <c r="Z116" s="236"/>
      <c r="AA116" s="218"/>
      <c r="AB116" s="218"/>
      <c r="AC116" s="218"/>
      <c r="AD116" s="218"/>
      <c r="AE116" s="218"/>
      <c r="AF116" s="218"/>
      <c r="AG116" s="218"/>
      <c r="AH116" s="218"/>
      <c r="AJ116" s="218"/>
      <c r="AL116" s="217"/>
      <c r="AM116" s="218"/>
      <c r="AN116" s="218"/>
      <c r="AO116" s="218"/>
      <c r="AP116" s="218"/>
      <c r="AQ116" s="218"/>
      <c r="AR116" s="218"/>
      <c r="AS116" s="218"/>
      <c r="AV116" s="218"/>
      <c r="AW116" s="207"/>
      <c r="AX116" s="218"/>
      <c r="AY116" s="218"/>
      <c r="BA116" s="218"/>
      <c r="BB116" s="218"/>
      <c r="BC116" s="218"/>
      <c r="BD116" s="218"/>
      <c r="BE116" s="218"/>
      <c r="BF116" s="218"/>
      <c r="BJ116" s="39"/>
      <c r="BK116" s="39"/>
      <c r="BL116" s="39"/>
      <c r="BM116" s="39"/>
      <c r="BN116" s="39"/>
      <c r="BO116" s="209"/>
    </row>
    <row r="117" spans="1:66" s="209" customFormat="1" ht="11.25" customHeight="1">
      <c r="A117" s="288" t="s">
        <v>445</v>
      </c>
      <c r="B117" s="216">
        <f>+B106+B113+B115</f>
        <v>477127</v>
      </c>
      <c r="C117" s="216">
        <f aca="true" t="shared" si="23" ref="C117:BH117">+C106+C113+C115</f>
        <v>7183</v>
      </c>
      <c r="D117" s="216">
        <f t="shared" si="23"/>
        <v>826</v>
      </c>
      <c r="E117" s="216">
        <f t="shared" si="23"/>
        <v>56</v>
      </c>
      <c r="F117" s="216">
        <f t="shared" si="23"/>
        <v>267306</v>
      </c>
      <c r="G117" s="216">
        <f t="shared" si="23"/>
        <v>142823</v>
      </c>
      <c r="H117" s="216">
        <f t="shared" si="23"/>
        <v>25356</v>
      </c>
      <c r="I117" s="216">
        <f t="shared" si="23"/>
        <v>882536</v>
      </c>
      <c r="J117" s="216">
        <f t="shared" si="23"/>
        <v>0</v>
      </c>
      <c r="K117" s="216">
        <f t="shared" si="23"/>
        <v>543502</v>
      </c>
      <c r="L117" s="216">
        <f t="shared" si="23"/>
        <v>730</v>
      </c>
      <c r="M117" s="216">
        <f t="shared" si="23"/>
        <v>2026</v>
      </c>
      <c r="N117" s="216">
        <f t="shared" si="23"/>
        <v>1181</v>
      </c>
      <c r="O117" s="216">
        <f t="shared" si="23"/>
        <v>81682</v>
      </c>
      <c r="P117" s="216">
        <f t="shared" si="23"/>
        <v>28859</v>
      </c>
      <c r="Q117" s="216">
        <f t="shared" si="23"/>
        <v>13</v>
      </c>
      <c r="R117" s="216">
        <f t="shared" si="23"/>
        <v>11853</v>
      </c>
      <c r="S117" s="216">
        <f t="shared" si="23"/>
        <v>0</v>
      </c>
      <c r="T117" s="216">
        <f t="shared" si="23"/>
        <v>2022</v>
      </c>
      <c r="U117" s="216">
        <f t="shared" si="23"/>
        <v>2130</v>
      </c>
      <c r="V117" s="216">
        <f t="shared" si="23"/>
        <v>48689</v>
      </c>
      <c r="W117" s="216">
        <f t="shared" si="23"/>
        <v>0</v>
      </c>
      <c r="X117" s="216">
        <f t="shared" si="23"/>
        <v>6036</v>
      </c>
      <c r="Y117" s="216">
        <f t="shared" si="23"/>
        <v>12041</v>
      </c>
      <c r="Z117" s="216">
        <f t="shared" si="23"/>
        <v>40597</v>
      </c>
      <c r="AA117" s="216">
        <f t="shared" si="23"/>
        <v>6069</v>
      </c>
      <c r="AB117" s="216">
        <f t="shared" si="23"/>
        <v>18441.868000000002</v>
      </c>
      <c r="AC117" s="216">
        <f t="shared" si="23"/>
        <v>72805</v>
      </c>
      <c r="AD117" s="216">
        <f t="shared" si="23"/>
        <v>2514</v>
      </c>
      <c r="AE117" s="216">
        <f t="shared" si="23"/>
        <v>16811</v>
      </c>
      <c r="AF117" s="216">
        <f t="shared" si="23"/>
        <v>8559.935</v>
      </c>
      <c r="AG117" s="216">
        <f t="shared" si="23"/>
        <v>6456</v>
      </c>
      <c r="AH117" s="216">
        <f t="shared" si="23"/>
        <v>509</v>
      </c>
      <c r="AI117" s="216">
        <f t="shared" si="23"/>
        <v>600</v>
      </c>
      <c r="AJ117" s="216">
        <f t="shared" si="23"/>
        <v>0</v>
      </c>
      <c r="AK117" s="216">
        <f t="shared" si="23"/>
        <v>154.086</v>
      </c>
      <c r="AL117" s="216">
        <f t="shared" si="23"/>
        <v>0</v>
      </c>
      <c r="AM117" s="216">
        <f t="shared" si="23"/>
        <v>2127</v>
      </c>
      <c r="AN117" s="216">
        <f t="shared" si="23"/>
        <v>189</v>
      </c>
      <c r="AO117" s="216">
        <f t="shared" si="23"/>
        <v>1160</v>
      </c>
      <c r="AP117" s="216">
        <f t="shared" si="23"/>
        <v>0</v>
      </c>
      <c r="AQ117" s="216">
        <f t="shared" si="23"/>
        <v>1940</v>
      </c>
      <c r="AR117" s="216">
        <f t="shared" si="23"/>
        <v>4425</v>
      </c>
      <c r="AS117" s="216">
        <f t="shared" si="23"/>
        <v>1500</v>
      </c>
      <c r="AT117" s="216">
        <f t="shared" si="23"/>
        <v>696</v>
      </c>
      <c r="AU117" s="216">
        <f t="shared" si="23"/>
        <v>1369.305</v>
      </c>
      <c r="AV117" s="216">
        <f t="shared" si="23"/>
        <v>3001</v>
      </c>
      <c r="AW117" s="216">
        <f t="shared" si="23"/>
        <v>2035</v>
      </c>
      <c r="AX117" s="216">
        <f t="shared" si="23"/>
        <v>1044</v>
      </c>
      <c r="AY117" s="216">
        <f t="shared" si="23"/>
        <v>1085</v>
      </c>
      <c r="AZ117" s="216">
        <f t="shared" si="23"/>
        <v>1890</v>
      </c>
      <c r="BA117" s="216">
        <f t="shared" si="23"/>
        <v>2090</v>
      </c>
      <c r="BB117" s="216">
        <f t="shared" si="23"/>
        <v>8629</v>
      </c>
      <c r="BC117" s="216">
        <f t="shared" si="23"/>
        <v>0</v>
      </c>
      <c r="BD117" s="216">
        <f t="shared" si="23"/>
        <v>2391</v>
      </c>
      <c r="BE117" s="216">
        <f t="shared" si="23"/>
        <v>4477</v>
      </c>
      <c r="BF117" s="216">
        <f t="shared" si="23"/>
        <v>0</v>
      </c>
      <c r="BG117" s="216">
        <f t="shared" si="23"/>
        <v>45296</v>
      </c>
      <c r="BH117" s="216">
        <f t="shared" si="23"/>
        <v>34</v>
      </c>
      <c r="BJ117" s="39">
        <f>SUM(B117:BH117)</f>
        <v>2802872.194</v>
      </c>
      <c r="BK117" s="207"/>
      <c r="BL117" s="39">
        <f t="shared" si="14"/>
        <v>654054</v>
      </c>
      <c r="BM117" s="39">
        <f t="shared" si="15"/>
        <v>2148818.194</v>
      </c>
      <c r="BN117" s="207"/>
    </row>
    <row r="118" spans="1:67" ht="11.25" customHeight="1">
      <c r="A118" s="229"/>
      <c r="B118" s="216"/>
      <c r="C118" s="216"/>
      <c r="D118" s="216"/>
      <c r="E118" s="216"/>
      <c r="F118" s="218"/>
      <c r="G118" s="218"/>
      <c r="H118" s="218"/>
      <c r="I118" s="218"/>
      <c r="J118" s="218"/>
      <c r="K118" s="218"/>
      <c r="L118" s="218"/>
      <c r="M118" s="217"/>
      <c r="N118" s="218"/>
      <c r="O118" s="39"/>
      <c r="P118" s="218"/>
      <c r="Q118" s="218"/>
      <c r="R118" s="218"/>
      <c r="S118" s="218"/>
      <c r="T118" s="39"/>
      <c r="U118" s="217"/>
      <c r="V118" s="39"/>
      <c r="W118" s="39"/>
      <c r="X118" s="218"/>
      <c r="Y118" s="218"/>
      <c r="Z118" s="297"/>
      <c r="AA118" s="218"/>
      <c r="AB118" s="218"/>
      <c r="AC118" s="218"/>
      <c r="AD118" s="218"/>
      <c r="AE118" s="218"/>
      <c r="AF118" s="218"/>
      <c r="AG118" s="218"/>
      <c r="AH118" s="218"/>
      <c r="AJ118" s="218"/>
      <c r="AK118" s="39"/>
      <c r="AL118" s="217"/>
      <c r="AM118" s="218"/>
      <c r="AN118" s="218"/>
      <c r="AO118" s="218"/>
      <c r="AP118" s="218"/>
      <c r="AQ118" s="218"/>
      <c r="AR118" s="218"/>
      <c r="AS118" s="218"/>
      <c r="AV118" s="218"/>
      <c r="AW118" s="207"/>
      <c r="AX118" s="218"/>
      <c r="AY118" s="218"/>
      <c r="AZ118" s="39"/>
      <c r="BA118" s="218"/>
      <c r="BB118" s="218"/>
      <c r="BC118" s="218"/>
      <c r="BD118" s="218"/>
      <c r="BE118" s="218"/>
      <c r="BF118" s="218"/>
      <c r="BJ118" s="39"/>
      <c r="BK118" s="39"/>
      <c r="BL118" s="39"/>
      <c r="BM118" s="39"/>
      <c r="BN118" s="39"/>
      <c r="BO118" s="209"/>
    </row>
    <row r="119" spans="1:66" s="209" customFormat="1" ht="11.25" customHeight="1">
      <c r="A119" s="288" t="s">
        <v>443</v>
      </c>
      <c r="B119" s="233">
        <f aca="true" t="shared" si="24" ref="B119:AG119">+B103-B117</f>
        <v>108217150</v>
      </c>
      <c r="C119" s="233">
        <f t="shared" si="24"/>
        <v>35439694</v>
      </c>
      <c r="D119" s="233">
        <f t="shared" si="24"/>
        <v>234685</v>
      </c>
      <c r="E119" s="233">
        <f t="shared" si="24"/>
        <v>40331</v>
      </c>
      <c r="F119" s="233">
        <f t="shared" si="24"/>
        <v>121734668</v>
      </c>
      <c r="G119" s="233">
        <f t="shared" si="24"/>
        <v>63478679</v>
      </c>
      <c r="H119" s="233">
        <f t="shared" si="24"/>
        <v>56116687</v>
      </c>
      <c r="I119" s="233">
        <f t="shared" si="24"/>
        <v>50336552</v>
      </c>
      <c r="J119" s="233">
        <f t="shared" si="24"/>
        <v>910956</v>
      </c>
      <c r="K119" s="233">
        <f t="shared" si="24"/>
        <v>31698600</v>
      </c>
      <c r="L119" s="233">
        <f t="shared" si="24"/>
        <v>28201605</v>
      </c>
      <c r="M119" s="233">
        <f t="shared" si="24"/>
        <v>4918376</v>
      </c>
      <c r="N119" s="233">
        <f t="shared" si="24"/>
        <v>3111215</v>
      </c>
      <c r="O119" s="233">
        <f t="shared" si="24"/>
        <v>22444732</v>
      </c>
      <c r="P119" s="233">
        <f t="shared" si="24"/>
        <v>17903347</v>
      </c>
      <c r="Q119" s="233">
        <f t="shared" si="24"/>
        <v>4566409</v>
      </c>
      <c r="R119" s="233">
        <f t="shared" si="24"/>
        <v>17788947</v>
      </c>
      <c r="S119" s="233">
        <f t="shared" si="24"/>
        <v>1499043</v>
      </c>
      <c r="T119" s="233">
        <f t="shared" si="24"/>
        <v>15645557</v>
      </c>
      <c r="U119" s="233">
        <f t="shared" si="24"/>
        <v>15564174</v>
      </c>
      <c r="V119" s="233">
        <f t="shared" si="24"/>
        <v>14812005</v>
      </c>
      <c r="W119" s="233">
        <f t="shared" si="24"/>
        <v>282256</v>
      </c>
      <c r="X119" s="233">
        <f t="shared" si="24"/>
        <v>14189732</v>
      </c>
      <c r="Y119" s="233">
        <f t="shared" si="24"/>
        <v>13717390</v>
      </c>
      <c r="Z119" s="233">
        <f t="shared" si="24"/>
        <v>12937557</v>
      </c>
      <c r="AA119" s="233">
        <f t="shared" si="24"/>
        <v>12863725</v>
      </c>
      <c r="AB119" s="233">
        <f t="shared" si="24"/>
        <v>12696730.471</v>
      </c>
      <c r="AC119" s="233">
        <f t="shared" si="24"/>
        <v>10044471</v>
      </c>
      <c r="AD119" s="233">
        <f t="shared" si="24"/>
        <v>9544124</v>
      </c>
      <c r="AE119" s="233">
        <f t="shared" si="24"/>
        <v>9026776</v>
      </c>
      <c r="AF119" s="233">
        <f t="shared" si="24"/>
        <v>718979.4629999999</v>
      </c>
      <c r="AG119" s="233">
        <f t="shared" si="24"/>
        <v>6796621</v>
      </c>
      <c r="AH119" s="233">
        <f aca="true" t="shared" si="25" ref="AH119:BH119">+AH103-AH117</f>
        <v>550765</v>
      </c>
      <c r="AI119" s="233">
        <f t="shared" si="25"/>
        <v>7502572</v>
      </c>
      <c r="AJ119" s="233">
        <f t="shared" si="25"/>
        <v>6409499</v>
      </c>
      <c r="AK119" s="233">
        <f t="shared" si="25"/>
        <v>471097.63100000005</v>
      </c>
      <c r="AL119" s="233">
        <f t="shared" si="25"/>
        <v>3247975</v>
      </c>
      <c r="AM119" s="233">
        <f t="shared" si="25"/>
        <v>2536260</v>
      </c>
      <c r="AN119" s="233">
        <f t="shared" si="25"/>
        <v>191912</v>
      </c>
      <c r="AO119" s="233">
        <f t="shared" si="25"/>
        <v>2671755</v>
      </c>
      <c r="AP119" s="233">
        <f t="shared" si="25"/>
        <v>2279171</v>
      </c>
      <c r="AQ119" s="233">
        <f t="shared" si="25"/>
        <v>2250869</v>
      </c>
      <c r="AR119" s="233">
        <f t="shared" si="25"/>
        <v>1601449</v>
      </c>
      <c r="AS119" s="233">
        <f t="shared" si="25"/>
        <v>130981</v>
      </c>
      <c r="AT119" s="233">
        <f t="shared" si="25"/>
        <v>1475470</v>
      </c>
      <c r="AU119" s="233">
        <f t="shared" si="25"/>
        <v>1417801.8380000002</v>
      </c>
      <c r="AV119" s="233">
        <f t="shared" si="25"/>
        <v>1368427</v>
      </c>
      <c r="AW119" s="233">
        <f t="shared" si="25"/>
        <v>1182750</v>
      </c>
      <c r="AX119" s="233">
        <f t="shared" si="25"/>
        <v>885206</v>
      </c>
      <c r="AY119" s="233">
        <f t="shared" si="25"/>
        <v>665253</v>
      </c>
      <c r="AZ119" s="233">
        <f t="shared" si="25"/>
        <v>595106</v>
      </c>
      <c r="BA119" s="233">
        <f t="shared" si="25"/>
        <v>550918</v>
      </c>
      <c r="BB119" s="233">
        <f t="shared" si="25"/>
        <v>486957</v>
      </c>
      <c r="BC119" s="233">
        <f t="shared" si="25"/>
        <v>452728.273</v>
      </c>
      <c r="BD119" s="233">
        <f t="shared" si="25"/>
        <v>366418</v>
      </c>
      <c r="BE119" s="233">
        <f t="shared" si="25"/>
        <v>195390</v>
      </c>
      <c r="BF119" s="233">
        <f t="shared" si="25"/>
        <v>97770</v>
      </c>
      <c r="BG119" s="233">
        <f t="shared" si="25"/>
        <v>13904</v>
      </c>
      <c r="BH119" s="233">
        <f t="shared" si="25"/>
        <v>8344</v>
      </c>
      <c r="BI119" s="207"/>
      <c r="BJ119" s="207">
        <f>SUM(B119:BH119)</f>
        <v>757088522.6760001</v>
      </c>
      <c r="BK119" s="207"/>
      <c r="BL119" s="207">
        <f t="shared" si="14"/>
        <v>141283356</v>
      </c>
      <c r="BM119" s="207">
        <f t="shared" si="15"/>
        <v>615805166.6760001</v>
      </c>
      <c r="BN119" s="207"/>
    </row>
    <row r="120" spans="1:67" ht="11.25" customHeight="1">
      <c r="A120" s="229"/>
      <c r="B120" s="39"/>
      <c r="C120" s="39"/>
      <c r="D120" s="39"/>
      <c r="E120" s="39"/>
      <c r="F120" s="39"/>
      <c r="G120" s="39"/>
      <c r="I120" s="39"/>
      <c r="J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209"/>
    </row>
    <row r="121" spans="1:67" ht="17.25" customHeight="1">
      <c r="A121" s="241" t="s">
        <v>425</v>
      </c>
      <c r="BL121" s="39"/>
      <c r="BM121" s="39"/>
      <c r="BO121" s="209"/>
    </row>
    <row r="122" spans="1:67" ht="11.25" customHeight="1" outlineLevel="1">
      <c r="A122" s="229" t="s">
        <v>327</v>
      </c>
      <c r="B122" s="210"/>
      <c r="C122" s="210"/>
      <c r="D122" s="210"/>
      <c r="E122" s="210"/>
      <c r="F122" s="39"/>
      <c r="G122" s="39"/>
      <c r="H122" s="210"/>
      <c r="I122" s="210"/>
      <c r="K122" s="39"/>
      <c r="L122" s="210"/>
      <c r="O122" s="39"/>
      <c r="P122" s="210"/>
      <c r="Q122" s="210"/>
      <c r="T122" s="39"/>
      <c r="U122" s="39"/>
      <c r="Y122" s="39"/>
      <c r="Z122" s="39"/>
      <c r="AB122" s="39"/>
      <c r="AC122" s="39"/>
      <c r="AD122" s="39"/>
      <c r="AE122" s="39"/>
      <c r="AF122" s="210"/>
      <c r="AG122" s="210"/>
      <c r="AH122" s="210"/>
      <c r="AI122" s="39"/>
      <c r="AJ122" s="39"/>
      <c r="AK122" s="39"/>
      <c r="AL122" s="39"/>
      <c r="AM122" s="210"/>
      <c r="AN122" s="210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J122" s="39"/>
      <c r="BK122" s="39"/>
      <c r="BL122" s="39"/>
      <c r="BM122" s="39"/>
      <c r="BN122" s="39"/>
      <c r="BO122" s="209"/>
    </row>
    <row r="123" spans="1:67" ht="11.25" customHeight="1" outlineLevel="1">
      <c r="A123" s="206" t="s">
        <v>328</v>
      </c>
      <c r="B123" s="215">
        <v>15626930</v>
      </c>
      <c r="C123" s="215">
        <v>7242792</v>
      </c>
      <c r="D123" s="215">
        <v>283515</v>
      </c>
      <c r="E123" s="215">
        <v>45310</v>
      </c>
      <c r="F123" s="215">
        <v>7441378</v>
      </c>
      <c r="G123" s="215">
        <v>2983804</v>
      </c>
      <c r="H123" s="215">
        <v>1919100</v>
      </c>
      <c r="I123" s="215">
        <v>2422960</v>
      </c>
      <c r="J123" s="215">
        <v>294788</v>
      </c>
      <c r="K123" s="215">
        <v>1578768</v>
      </c>
      <c r="L123" s="215">
        <v>1520405</v>
      </c>
      <c r="M123" s="39">
        <v>1003465</v>
      </c>
      <c r="N123" s="215">
        <v>826664</v>
      </c>
      <c r="O123" s="215">
        <v>1419988</v>
      </c>
      <c r="P123" s="215">
        <v>361067</v>
      </c>
      <c r="Q123" s="215">
        <v>523627</v>
      </c>
      <c r="R123" s="215">
        <v>351498</v>
      </c>
      <c r="S123" s="215">
        <v>341879</v>
      </c>
      <c r="T123" s="215">
        <v>921721</v>
      </c>
      <c r="U123" s="215">
        <v>805562</v>
      </c>
      <c r="V123" s="215">
        <v>485938</v>
      </c>
      <c r="W123" s="215">
        <v>0</v>
      </c>
      <c r="X123" s="215">
        <v>1139477</v>
      </c>
      <c r="Y123" s="215">
        <v>845133</v>
      </c>
      <c r="Z123" s="298">
        <v>1442847</v>
      </c>
      <c r="AA123" s="215">
        <v>458004</v>
      </c>
      <c r="AB123" s="215">
        <v>386721.282</v>
      </c>
      <c r="AC123" s="215">
        <f>1114301</f>
        <v>1114301</v>
      </c>
      <c r="AD123" s="215">
        <v>480709</v>
      </c>
      <c r="AE123" s="215">
        <v>435184</v>
      </c>
      <c r="AF123" s="216">
        <v>133034.524</v>
      </c>
      <c r="AG123" s="215">
        <v>1923195</v>
      </c>
      <c r="AH123" s="215">
        <v>128909</v>
      </c>
      <c r="AI123" s="216">
        <v>112970</v>
      </c>
      <c r="AJ123" s="215">
        <v>351061</v>
      </c>
      <c r="AK123" s="216">
        <v>120113.65</v>
      </c>
      <c r="AL123" s="215">
        <v>430545</v>
      </c>
      <c r="AM123" s="215">
        <v>-772</v>
      </c>
      <c r="AN123" s="215">
        <v>0</v>
      </c>
      <c r="AO123" s="216">
        <v>117538</v>
      </c>
      <c r="AP123" s="215">
        <v>87845</v>
      </c>
      <c r="AQ123" s="215">
        <v>0</v>
      </c>
      <c r="AR123" s="215">
        <v>91475</v>
      </c>
      <c r="AS123" s="215">
        <v>32632</v>
      </c>
      <c r="AT123" s="216">
        <v>80501</v>
      </c>
      <c r="AU123" s="216">
        <v>0</v>
      </c>
      <c r="AV123" s="215">
        <v>11989</v>
      </c>
      <c r="AW123" s="216">
        <v>127811</v>
      </c>
      <c r="AX123" s="215">
        <v>18796</v>
      </c>
      <c r="AY123" s="215">
        <v>0</v>
      </c>
      <c r="AZ123" s="215">
        <v>0</v>
      </c>
      <c r="BA123" s="215">
        <v>33784</v>
      </c>
      <c r="BB123" s="215">
        <v>1135</v>
      </c>
      <c r="BC123" s="215">
        <v>0</v>
      </c>
      <c r="BD123" s="215">
        <v>33871</v>
      </c>
      <c r="BE123" s="215">
        <v>23957</v>
      </c>
      <c r="BF123" s="215">
        <v>130000</v>
      </c>
      <c r="BG123" s="216">
        <v>27063</v>
      </c>
      <c r="BH123" s="216">
        <v>0</v>
      </c>
      <c r="BJ123" s="39">
        <f aca="true" t="shared" si="26" ref="BJ123:BJ159">SUM(B123:BH123)</f>
        <v>58720988.45599999</v>
      </c>
      <c r="BK123" s="39"/>
      <c r="BL123" s="39">
        <f t="shared" si="14"/>
        <v>19510706</v>
      </c>
      <c r="BM123" s="39">
        <f t="shared" si="15"/>
        <v>39210282.45599999</v>
      </c>
      <c r="BN123" s="216"/>
      <c r="BO123" s="209"/>
    </row>
    <row r="124" spans="1:67" ht="11.25" customHeight="1" outlineLevel="1">
      <c r="A124" s="206" t="s">
        <v>329</v>
      </c>
      <c r="B124" s="215">
        <v>3090405</v>
      </c>
      <c r="C124" s="215">
        <v>836206</v>
      </c>
      <c r="D124" s="215">
        <v>11658</v>
      </c>
      <c r="E124" s="215">
        <v>2095</v>
      </c>
      <c r="F124" s="215">
        <v>6656796</v>
      </c>
      <c r="G124" s="215">
        <v>2678339</v>
      </c>
      <c r="H124" s="215">
        <v>2607519</v>
      </c>
      <c r="I124" s="215">
        <v>1472557</v>
      </c>
      <c r="J124" s="215">
        <v>74282</v>
      </c>
      <c r="K124" s="215">
        <v>205619</v>
      </c>
      <c r="L124" s="215">
        <v>1173602</v>
      </c>
      <c r="M124" s="39">
        <v>75495</v>
      </c>
      <c r="N124" s="215">
        <v>10747</v>
      </c>
      <c r="O124" s="215">
        <v>1086177</v>
      </c>
      <c r="P124" s="215">
        <v>481617</v>
      </c>
      <c r="Q124" s="215">
        <v>85507</v>
      </c>
      <c r="R124" s="215">
        <v>632447</v>
      </c>
      <c r="S124" s="215">
        <v>47099</v>
      </c>
      <c r="T124" s="215">
        <v>108459</v>
      </c>
      <c r="U124" s="215">
        <v>524052</v>
      </c>
      <c r="V124" s="215">
        <v>483236</v>
      </c>
      <c r="W124" s="215">
        <v>13449</v>
      </c>
      <c r="X124" s="215">
        <v>165586</v>
      </c>
      <c r="Y124" s="215">
        <v>98059</v>
      </c>
      <c r="Z124" s="298">
        <v>437751</v>
      </c>
      <c r="AA124" s="215">
        <v>322709</v>
      </c>
      <c r="AB124" s="215">
        <v>299471.077</v>
      </c>
      <c r="AC124" s="215">
        <f>272104</f>
        <v>272104</v>
      </c>
      <c r="AD124" s="215">
        <v>324778</v>
      </c>
      <c r="AE124" s="215">
        <v>274343</v>
      </c>
      <c r="AF124" s="216">
        <v>10209.128</v>
      </c>
      <c r="AG124" s="215">
        <v>113650</v>
      </c>
      <c r="AH124" s="215">
        <v>10799</v>
      </c>
      <c r="AI124" s="216">
        <v>44168</v>
      </c>
      <c r="AJ124" s="215">
        <v>254355</v>
      </c>
      <c r="AK124" s="216">
        <v>6409.341</v>
      </c>
      <c r="AL124" s="215">
        <v>34753</v>
      </c>
      <c r="AM124" s="215">
        <v>98517</v>
      </c>
      <c r="AN124" s="215">
        <v>7021</v>
      </c>
      <c r="AO124" s="216">
        <v>245590</v>
      </c>
      <c r="AP124" s="215">
        <v>6588</v>
      </c>
      <c r="AQ124" s="215">
        <v>52614</v>
      </c>
      <c r="AR124" s="215">
        <v>55425</v>
      </c>
      <c r="AS124" s="215">
        <v>1015</v>
      </c>
      <c r="AT124" s="216">
        <v>53124</v>
      </c>
      <c r="AU124" s="216">
        <v>21986.609</v>
      </c>
      <c r="AV124" s="215">
        <v>29814</v>
      </c>
      <c r="AW124" s="216">
        <v>67680</v>
      </c>
      <c r="AX124" s="215">
        <v>47652</v>
      </c>
      <c r="AY124" s="215">
        <v>24958</v>
      </c>
      <c r="AZ124" s="215">
        <v>23560</v>
      </c>
      <c r="BA124" s="215">
        <v>24575</v>
      </c>
      <c r="BB124" s="215">
        <v>15473</v>
      </c>
      <c r="BC124" s="215">
        <v>39021.522</v>
      </c>
      <c r="BD124" s="215">
        <v>17262</v>
      </c>
      <c r="BE124" s="215">
        <v>3222</v>
      </c>
      <c r="BF124" s="215">
        <v>4375</v>
      </c>
      <c r="BG124" s="216">
        <v>2662</v>
      </c>
      <c r="BH124" s="216">
        <v>48</v>
      </c>
      <c r="BJ124" s="39">
        <f t="shared" si="26"/>
        <v>25868690.676999997</v>
      </c>
      <c r="BK124" s="39"/>
      <c r="BL124" s="39">
        <f t="shared" si="14"/>
        <v>4131764</v>
      </c>
      <c r="BM124" s="39">
        <f t="shared" si="15"/>
        <v>21736926.676999997</v>
      </c>
      <c r="BN124" s="216"/>
      <c r="BO124" s="209"/>
    </row>
    <row r="125" spans="1:67" ht="11.25" customHeight="1" outlineLevel="1">
      <c r="A125" s="206" t="s">
        <v>330</v>
      </c>
      <c r="B125" s="218">
        <v>0</v>
      </c>
      <c r="C125" s="218">
        <v>0</v>
      </c>
      <c r="D125" s="218">
        <v>0</v>
      </c>
      <c r="E125" s="215">
        <v>0</v>
      </c>
      <c r="F125" s="215">
        <v>0</v>
      </c>
      <c r="G125" s="215">
        <v>22262</v>
      </c>
      <c r="H125" s="215">
        <v>0</v>
      </c>
      <c r="I125" s="215">
        <v>0</v>
      </c>
      <c r="J125" s="215">
        <v>0</v>
      </c>
      <c r="K125" s="215">
        <v>0</v>
      </c>
      <c r="L125" s="215">
        <v>0</v>
      </c>
      <c r="M125" s="39">
        <v>0</v>
      </c>
      <c r="N125" s="215">
        <v>0</v>
      </c>
      <c r="O125" s="215">
        <v>0</v>
      </c>
      <c r="P125" s="215">
        <v>0</v>
      </c>
      <c r="Q125" s="215">
        <v>0</v>
      </c>
      <c r="R125" s="215">
        <v>0</v>
      </c>
      <c r="S125" s="215">
        <v>0</v>
      </c>
      <c r="T125" s="215">
        <v>0</v>
      </c>
      <c r="U125" s="215">
        <v>0</v>
      </c>
      <c r="V125" s="215">
        <v>0</v>
      </c>
      <c r="W125" s="215">
        <v>0</v>
      </c>
      <c r="X125" s="215">
        <v>-37039</v>
      </c>
      <c r="Y125" s="215">
        <v>4818</v>
      </c>
      <c r="Z125" s="298">
        <v>0</v>
      </c>
      <c r="AA125" s="215">
        <v>0</v>
      </c>
      <c r="AB125" s="215">
        <v>58887.676</v>
      </c>
      <c r="AC125" s="215">
        <v>0</v>
      </c>
      <c r="AD125" s="215">
        <v>0</v>
      </c>
      <c r="AE125" s="215">
        <v>0</v>
      </c>
      <c r="AF125" s="216">
        <v>0</v>
      </c>
      <c r="AG125" s="215">
        <v>0</v>
      </c>
      <c r="AH125" s="215">
        <v>0</v>
      </c>
      <c r="AI125" s="216">
        <v>0</v>
      </c>
      <c r="AJ125" s="215">
        <v>0</v>
      </c>
      <c r="AK125" s="216">
        <v>0</v>
      </c>
      <c r="AL125" s="216">
        <v>0</v>
      </c>
      <c r="AM125" s="216">
        <v>0</v>
      </c>
      <c r="AN125" s="216">
        <v>0</v>
      </c>
      <c r="AO125" s="216">
        <v>654</v>
      </c>
      <c r="AP125" s="215">
        <v>796</v>
      </c>
      <c r="AQ125" s="215">
        <v>0</v>
      </c>
      <c r="AR125" s="215">
        <v>7978</v>
      </c>
      <c r="AS125" s="215">
        <v>0</v>
      </c>
      <c r="AT125" s="215">
        <v>0</v>
      </c>
      <c r="AU125" s="216">
        <v>0</v>
      </c>
      <c r="AV125" s="216">
        <v>0</v>
      </c>
      <c r="AW125" s="216">
        <v>0</v>
      </c>
      <c r="AX125" s="216">
        <v>0</v>
      </c>
      <c r="AY125" s="216">
        <v>0</v>
      </c>
      <c r="AZ125" s="216">
        <v>0</v>
      </c>
      <c r="BA125" s="216">
        <v>0</v>
      </c>
      <c r="BB125" s="216">
        <v>0</v>
      </c>
      <c r="BC125" s="215">
        <v>0</v>
      </c>
      <c r="BD125" s="215">
        <v>0</v>
      </c>
      <c r="BE125" s="215">
        <v>0</v>
      </c>
      <c r="BF125" s="215">
        <v>0</v>
      </c>
      <c r="BG125" s="215">
        <v>0</v>
      </c>
      <c r="BH125" s="215">
        <v>0</v>
      </c>
      <c r="BJ125" s="39">
        <f t="shared" si="26"/>
        <v>58356.676</v>
      </c>
      <c r="BK125" s="39"/>
      <c r="BL125" s="39">
        <f t="shared" si="14"/>
        <v>7978</v>
      </c>
      <c r="BM125" s="39">
        <f t="shared" si="15"/>
        <v>50378.676</v>
      </c>
      <c r="BN125" s="216"/>
      <c r="BO125" s="209"/>
    </row>
    <row r="126" spans="1:67" ht="11.25" customHeight="1" outlineLevel="1">
      <c r="A126" s="206" t="s">
        <v>331</v>
      </c>
      <c r="B126" s="215">
        <v>6669755</v>
      </c>
      <c r="C126" s="215">
        <v>1641013</v>
      </c>
      <c r="D126" s="215">
        <v>2791</v>
      </c>
      <c r="E126" s="215">
        <v>0</v>
      </c>
      <c r="F126" s="215">
        <v>4770161</v>
      </c>
      <c r="G126" s="215">
        <v>3533049</v>
      </c>
      <c r="H126" s="215">
        <v>3690502</v>
      </c>
      <c r="I126" s="215">
        <v>3941168</v>
      </c>
      <c r="J126" s="215">
        <v>0</v>
      </c>
      <c r="K126" s="215">
        <v>1665321</v>
      </c>
      <c r="L126" s="215">
        <v>1369295</v>
      </c>
      <c r="M126" s="39">
        <v>58500</v>
      </c>
      <c r="N126" s="215">
        <v>47830</v>
      </c>
      <c r="O126" s="215">
        <v>1164940</v>
      </c>
      <c r="P126" s="215">
        <v>692233</v>
      </c>
      <c r="Q126" s="215">
        <v>126475</v>
      </c>
      <c r="R126" s="215">
        <v>1843148</v>
      </c>
      <c r="S126" s="215">
        <v>0</v>
      </c>
      <c r="T126" s="215">
        <v>901523</v>
      </c>
      <c r="U126" s="215">
        <v>557277</v>
      </c>
      <c r="V126" s="215">
        <v>1146657</v>
      </c>
      <c r="W126" s="215">
        <v>16252</v>
      </c>
      <c r="X126" s="215">
        <v>506236</v>
      </c>
      <c r="Y126" s="215">
        <v>664514</v>
      </c>
      <c r="Z126" s="298">
        <v>935218</v>
      </c>
      <c r="AA126" s="215">
        <v>676638</v>
      </c>
      <c r="AB126" s="215">
        <v>581540.827</v>
      </c>
      <c r="AC126" s="215">
        <f>440393</f>
        <v>440393</v>
      </c>
      <c r="AD126" s="215">
        <v>804298</v>
      </c>
      <c r="AE126" s="215">
        <v>258994</v>
      </c>
      <c r="AF126" s="216">
        <v>0</v>
      </c>
      <c r="AG126" s="215">
        <v>170348</v>
      </c>
      <c r="AH126" s="215">
        <v>12175</v>
      </c>
      <c r="AI126" s="216">
        <v>422511</v>
      </c>
      <c r="AJ126" s="215">
        <v>273173</v>
      </c>
      <c r="AK126" s="216">
        <v>0</v>
      </c>
      <c r="AL126" s="215">
        <v>28230</v>
      </c>
      <c r="AM126" s="215">
        <v>262390</v>
      </c>
      <c r="AN126" s="215">
        <v>34971</v>
      </c>
      <c r="AO126" s="216">
        <v>196278</v>
      </c>
      <c r="AP126" s="215">
        <v>80097</v>
      </c>
      <c r="AQ126" s="215">
        <v>52618</v>
      </c>
      <c r="AR126" s="215">
        <v>114369</v>
      </c>
      <c r="AS126" s="215">
        <v>0</v>
      </c>
      <c r="AT126" s="216">
        <v>105224</v>
      </c>
      <c r="AU126" s="216">
        <v>84097.558</v>
      </c>
      <c r="AV126" s="215">
        <v>62276</v>
      </c>
      <c r="AW126" s="216">
        <v>67497</v>
      </c>
      <c r="AX126" s="215">
        <v>36928</v>
      </c>
      <c r="AY126" s="215">
        <v>21702</v>
      </c>
      <c r="AZ126" s="215">
        <v>61012</v>
      </c>
      <c r="BA126" s="215">
        <v>23399</v>
      </c>
      <c r="BB126" s="215">
        <v>13371</v>
      </c>
      <c r="BC126" s="215">
        <v>24378.385</v>
      </c>
      <c r="BD126" s="215">
        <v>67365</v>
      </c>
      <c r="BE126" s="215">
        <v>10955</v>
      </c>
      <c r="BF126" s="215">
        <v>12915</v>
      </c>
      <c r="BG126" s="216">
        <v>2945</v>
      </c>
      <c r="BH126" s="216">
        <v>0</v>
      </c>
      <c r="BJ126" s="39">
        <f t="shared" si="26"/>
        <v>40946946.769999996</v>
      </c>
      <c r="BK126" s="39"/>
      <c r="BL126" s="39">
        <f t="shared" si="14"/>
        <v>8552955</v>
      </c>
      <c r="BM126" s="39">
        <f t="shared" si="15"/>
        <v>32393991.77</v>
      </c>
      <c r="BN126" s="216"/>
      <c r="BO126" s="209"/>
    </row>
    <row r="127" spans="1:67" ht="11.25" customHeight="1" outlineLevel="1">
      <c r="A127" s="206" t="s">
        <v>332</v>
      </c>
      <c r="B127" s="215">
        <v>22411292</v>
      </c>
      <c r="C127" s="215">
        <v>6458528</v>
      </c>
      <c r="D127" s="215">
        <v>0</v>
      </c>
      <c r="E127" s="215">
        <v>0</v>
      </c>
      <c r="F127" s="215">
        <v>7721363</v>
      </c>
      <c r="G127" s="215">
        <v>4453824</v>
      </c>
      <c r="H127" s="215">
        <v>7047769</v>
      </c>
      <c r="I127" s="215">
        <v>6464365</v>
      </c>
      <c r="J127" s="215">
        <v>0</v>
      </c>
      <c r="K127" s="215">
        <v>5685091</v>
      </c>
      <c r="L127" s="215">
        <v>432878</v>
      </c>
      <c r="M127" s="39">
        <v>802146</v>
      </c>
      <c r="N127" s="215">
        <v>1813688</v>
      </c>
      <c r="O127" s="215">
        <v>1827814</v>
      </c>
      <c r="P127" s="215">
        <v>4908345</v>
      </c>
      <c r="Q127" s="215">
        <v>1345951</v>
      </c>
      <c r="R127" s="215">
        <v>3110129</v>
      </c>
      <c r="S127" s="215">
        <v>0</v>
      </c>
      <c r="T127" s="215">
        <v>3839462</v>
      </c>
      <c r="U127" s="215">
        <v>811696</v>
      </c>
      <c r="V127" s="215">
        <v>1210157</v>
      </c>
      <c r="W127" s="215">
        <v>0</v>
      </c>
      <c r="X127" s="215">
        <v>582619</v>
      </c>
      <c r="Y127" s="215">
        <v>5575679</v>
      </c>
      <c r="Z127" s="298">
        <v>3148347</v>
      </c>
      <c r="AA127" s="215">
        <v>1343143</v>
      </c>
      <c r="AB127" s="215">
        <v>5004967.152</v>
      </c>
      <c r="AC127" s="215">
        <f>359884</f>
        <v>359884</v>
      </c>
      <c r="AD127" s="215">
        <v>961833</v>
      </c>
      <c r="AE127" s="215">
        <v>4131246</v>
      </c>
      <c r="AF127" s="216">
        <v>345648.11</v>
      </c>
      <c r="AG127" s="215">
        <v>2044424</v>
      </c>
      <c r="AH127" s="215">
        <v>165645</v>
      </c>
      <c r="AI127" s="216">
        <v>323949</v>
      </c>
      <c r="AJ127" s="215">
        <v>872158</v>
      </c>
      <c r="AK127" s="216">
        <v>90958.321</v>
      </c>
      <c r="AL127" s="215">
        <v>121968</v>
      </c>
      <c r="AM127" s="215">
        <v>192073</v>
      </c>
      <c r="AN127" s="215">
        <v>38422</v>
      </c>
      <c r="AO127" s="216">
        <v>0</v>
      </c>
      <c r="AP127" s="215">
        <v>845014</v>
      </c>
      <c r="AQ127" s="215">
        <v>1910341</v>
      </c>
      <c r="AR127" s="215">
        <v>198359</v>
      </c>
      <c r="AS127" s="215">
        <v>54958</v>
      </c>
      <c r="AT127" s="216">
        <v>0</v>
      </c>
      <c r="AU127" s="216">
        <v>193040.811</v>
      </c>
      <c r="AV127" s="215">
        <v>409213</v>
      </c>
      <c r="AW127" s="216">
        <v>196430</v>
      </c>
      <c r="AX127" s="215">
        <v>367544</v>
      </c>
      <c r="AY127" s="215">
        <v>238515</v>
      </c>
      <c r="AZ127" s="215">
        <v>0</v>
      </c>
      <c r="BA127" s="215">
        <v>204762</v>
      </c>
      <c r="BB127" s="215">
        <v>282749</v>
      </c>
      <c r="BC127" s="215">
        <v>0</v>
      </c>
      <c r="BD127" s="215">
        <v>77344</v>
      </c>
      <c r="BE127" s="215">
        <v>31091</v>
      </c>
      <c r="BF127" s="215">
        <v>0</v>
      </c>
      <c r="BG127" s="215">
        <v>0</v>
      </c>
      <c r="BH127" s="215">
        <v>0</v>
      </c>
      <c r="BJ127" s="39">
        <f t="shared" si="26"/>
        <v>110656822.394</v>
      </c>
      <c r="BK127" s="39"/>
      <c r="BL127" s="39">
        <f t="shared" si="14"/>
        <v>27155443</v>
      </c>
      <c r="BM127" s="39">
        <f t="shared" si="15"/>
        <v>83501379.394</v>
      </c>
      <c r="BN127" s="216"/>
      <c r="BO127" s="209"/>
    </row>
    <row r="128" spans="1:67" ht="11.25" customHeight="1" outlineLevel="1">
      <c r="A128" s="206" t="s">
        <v>333</v>
      </c>
      <c r="B128" s="215">
        <v>6059290</v>
      </c>
      <c r="C128" s="215">
        <v>1663950</v>
      </c>
      <c r="D128" s="215">
        <v>0</v>
      </c>
      <c r="E128" s="215">
        <v>0</v>
      </c>
      <c r="F128" s="215">
        <v>4743089</v>
      </c>
      <c r="G128" s="215">
        <v>2611284</v>
      </c>
      <c r="H128" s="215">
        <v>526187</v>
      </c>
      <c r="I128" s="215">
        <v>3367763</v>
      </c>
      <c r="J128" s="215">
        <v>0</v>
      </c>
      <c r="K128" s="215">
        <v>2646686</v>
      </c>
      <c r="L128" s="215">
        <v>503969</v>
      </c>
      <c r="M128" s="39">
        <v>0</v>
      </c>
      <c r="N128" s="215">
        <v>1163540</v>
      </c>
      <c r="O128" s="215">
        <v>993200</v>
      </c>
      <c r="P128" s="215">
        <v>155667</v>
      </c>
      <c r="Q128" s="215">
        <v>0</v>
      </c>
      <c r="R128" s="215">
        <v>0</v>
      </c>
      <c r="S128" s="215">
        <v>0</v>
      </c>
      <c r="T128" s="215">
        <v>2071216</v>
      </c>
      <c r="U128" s="215">
        <v>0</v>
      </c>
      <c r="V128" s="215">
        <v>896972</v>
      </c>
      <c r="W128" s="215">
        <v>9191</v>
      </c>
      <c r="X128" s="215">
        <v>0</v>
      </c>
      <c r="Y128" s="215">
        <v>487</v>
      </c>
      <c r="Z128" s="298">
        <v>571824</v>
      </c>
      <c r="AA128" s="215">
        <v>429867</v>
      </c>
      <c r="AB128" s="215">
        <v>1127064.532</v>
      </c>
      <c r="AC128" s="215">
        <v>1233</v>
      </c>
      <c r="AD128" s="215">
        <v>29145</v>
      </c>
      <c r="AE128" s="215">
        <v>142649</v>
      </c>
      <c r="AF128" s="205">
        <v>0</v>
      </c>
      <c r="AG128" s="215">
        <v>399057</v>
      </c>
      <c r="AH128" s="215">
        <v>32333</v>
      </c>
      <c r="AI128" s="216">
        <v>446250</v>
      </c>
      <c r="AJ128" s="215">
        <v>739628</v>
      </c>
      <c r="AK128" s="216">
        <v>0</v>
      </c>
      <c r="AL128" s="215">
        <v>0</v>
      </c>
      <c r="AM128" s="215">
        <v>46157</v>
      </c>
      <c r="AN128" s="215">
        <v>0</v>
      </c>
      <c r="AO128" s="216">
        <v>0</v>
      </c>
      <c r="AP128" s="215">
        <v>10000</v>
      </c>
      <c r="AQ128" s="215">
        <v>26590</v>
      </c>
      <c r="AR128" s="215">
        <v>12750</v>
      </c>
      <c r="AS128" s="215">
        <v>0</v>
      </c>
      <c r="AT128" s="216">
        <v>0</v>
      </c>
      <c r="AU128" s="216">
        <v>269888.332</v>
      </c>
      <c r="AV128" s="215">
        <v>53786</v>
      </c>
      <c r="AW128" s="216">
        <v>92811</v>
      </c>
      <c r="AX128" s="215">
        <v>3786</v>
      </c>
      <c r="AY128" s="215">
        <v>13417</v>
      </c>
      <c r="AZ128" s="215">
        <v>10965</v>
      </c>
      <c r="BA128" s="215">
        <v>71080</v>
      </c>
      <c r="BB128" s="215">
        <v>0</v>
      </c>
      <c r="BC128" s="215">
        <v>0</v>
      </c>
      <c r="BD128" s="215">
        <v>180</v>
      </c>
      <c r="BE128" s="215">
        <v>6453</v>
      </c>
      <c r="BF128" s="215">
        <v>0</v>
      </c>
      <c r="BG128" s="215">
        <v>0</v>
      </c>
      <c r="BH128" s="215">
        <v>0</v>
      </c>
      <c r="BJ128" s="39">
        <f t="shared" si="26"/>
        <v>31949404.864</v>
      </c>
      <c r="BK128" s="39"/>
      <c r="BL128" s="39">
        <f t="shared" si="14"/>
        <v>6819407</v>
      </c>
      <c r="BM128" s="39">
        <f t="shared" si="15"/>
        <v>25129997.864</v>
      </c>
      <c r="BN128" s="216"/>
      <c r="BO128" s="209"/>
    </row>
    <row r="129" spans="1:67" ht="11.25" customHeight="1" outlineLevel="1">
      <c r="A129" s="206" t="s">
        <v>334</v>
      </c>
      <c r="B129" s="215">
        <v>127181</v>
      </c>
      <c r="C129" s="215">
        <v>0</v>
      </c>
      <c r="D129" s="215">
        <v>0</v>
      </c>
      <c r="E129" s="215">
        <v>0</v>
      </c>
      <c r="F129" s="215">
        <v>0</v>
      </c>
      <c r="G129" s="215">
        <v>0</v>
      </c>
      <c r="H129" s="215">
        <v>0</v>
      </c>
      <c r="I129" s="215">
        <v>0</v>
      </c>
      <c r="J129" s="215">
        <v>0</v>
      </c>
      <c r="K129" s="215">
        <v>0</v>
      </c>
      <c r="L129" s="215">
        <v>0</v>
      </c>
      <c r="M129" s="39">
        <v>1102</v>
      </c>
      <c r="N129" s="215">
        <v>0</v>
      </c>
      <c r="O129" s="215">
        <v>0</v>
      </c>
      <c r="P129" s="215">
        <v>0</v>
      </c>
      <c r="Q129" s="215">
        <v>0</v>
      </c>
      <c r="R129" s="215">
        <v>60471</v>
      </c>
      <c r="S129" s="215">
        <v>0</v>
      </c>
      <c r="T129" s="215">
        <v>0</v>
      </c>
      <c r="U129" s="215">
        <v>0</v>
      </c>
      <c r="V129" s="215">
        <v>0</v>
      </c>
      <c r="W129" s="215">
        <v>0</v>
      </c>
      <c r="X129" s="215">
        <v>0</v>
      </c>
      <c r="Y129" s="215">
        <v>103850</v>
      </c>
      <c r="Z129" s="298">
        <v>35926</v>
      </c>
      <c r="AA129" s="215">
        <v>129410</v>
      </c>
      <c r="AB129" s="215">
        <v>0</v>
      </c>
      <c r="AC129" s="215">
        <v>0</v>
      </c>
      <c r="AD129" s="215">
        <v>0</v>
      </c>
      <c r="AE129" s="215">
        <v>0</v>
      </c>
      <c r="AF129" s="205">
        <v>0</v>
      </c>
      <c r="AG129" s="215">
        <v>0</v>
      </c>
      <c r="AH129" s="215">
        <v>0</v>
      </c>
      <c r="AI129" s="216">
        <v>0</v>
      </c>
      <c r="AJ129" s="215">
        <v>82885</v>
      </c>
      <c r="AK129" s="216">
        <v>0</v>
      </c>
      <c r="AL129" s="215">
        <v>0</v>
      </c>
      <c r="AM129" s="215">
        <v>0</v>
      </c>
      <c r="AN129" s="215">
        <v>0</v>
      </c>
      <c r="AO129" s="215">
        <v>0</v>
      </c>
      <c r="AP129" s="215">
        <v>0</v>
      </c>
      <c r="AQ129" s="215">
        <v>0</v>
      </c>
      <c r="AR129" s="215">
        <v>0</v>
      </c>
      <c r="AS129" s="215">
        <v>0</v>
      </c>
      <c r="AT129" s="216">
        <v>0</v>
      </c>
      <c r="AU129" s="216">
        <v>0</v>
      </c>
      <c r="AV129" s="216">
        <v>0</v>
      </c>
      <c r="AW129" s="216">
        <v>0</v>
      </c>
      <c r="AX129" s="216">
        <v>0</v>
      </c>
      <c r="AY129" s="216">
        <v>0</v>
      </c>
      <c r="AZ129" s="216">
        <v>0</v>
      </c>
      <c r="BA129" s="216">
        <v>0</v>
      </c>
      <c r="BB129" s="216">
        <v>0</v>
      </c>
      <c r="BC129" s="216">
        <v>0</v>
      </c>
      <c r="BD129" s="215">
        <v>9497</v>
      </c>
      <c r="BE129" s="215">
        <v>2291</v>
      </c>
      <c r="BF129" s="215">
        <v>0</v>
      </c>
      <c r="BG129" s="215">
        <v>0</v>
      </c>
      <c r="BH129" s="215">
        <v>0</v>
      </c>
      <c r="BJ129" s="39">
        <f t="shared" si="26"/>
        <v>552613</v>
      </c>
      <c r="BK129" s="39"/>
      <c r="BL129" s="39">
        <f t="shared" si="14"/>
        <v>174895</v>
      </c>
      <c r="BM129" s="39">
        <f t="shared" si="15"/>
        <v>377718</v>
      </c>
      <c r="BN129" s="216"/>
      <c r="BO129" s="209"/>
    </row>
    <row r="130" spans="1:67" ht="11.25" customHeight="1" outlineLevel="1">
      <c r="A130" s="206" t="s">
        <v>335</v>
      </c>
      <c r="B130" s="218">
        <v>0</v>
      </c>
      <c r="C130" s="215">
        <v>0</v>
      </c>
      <c r="D130" s="215">
        <v>0</v>
      </c>
      <c r="E130" s="215">
        <v>0</v>
      </c>
      <c r="F130" s="215">
        <v>0</v>
      </c>
      <c r="G130" s="215">
        <v>0</v>
      </c>
      <c r="H130" s="215">
        <v>1550</v>
      </c>
      <c r="I130" s="215">
        <v>0</v>
      </c>
      <c r="J130" s="215">
        <v>0</v>
      </c>
      <c r="K130" s="215">
        <v>0</v>
      </c>
      <c r="L130" s="215">
        <v>0</v>
      </c>
      <c r="M130" s="39">
        <v>0</v>
      </c>
      <c r="N130" s="215">
        <v>0</v>
      </c>
      <c r="O130" s="215">
        <v>68146</v>
      </c>
      <c r="P130" s="215">
        <v>0</v>
      </c>
      <c r="Q130" s="215">
        <v>0</v>
      </c>
      <c r="R130" s="215">
        <v>0</v>
      </c>
      <c r="S130" s="215">
        <v>0</v>
      </c>
      <c r="T130" s="215">
        <v>4550</v>
      </c>
      <c r="U130" s="215">
        <v>0</v>
      </c>
      <c r="V130" s="215">
        <v>1800</v>
      </c>
      <c r="W130" s="215">
        <v>0</v>
      </c>
      <c r="X130" s="215">
        <v>0</v>
      </c>
      <c r="Y130" s="215">
        <v>7923</v>
      </c>
      <c r="Z130" s="298">
        <v>0</v>
      </c>
      <c r="AA130" s="215">
        <v>0</v>
      </c>
      <c r="AB130" s="215">
        <v>0</v>
      </c>
      <c r="AC130" s="215">
        <v>0</v>
      </c>
      <c r="AD130" s="215">
        <v>0</v>
      </c>
      <c r="AE130" s="215">
        <v>0</v>
      </c>
      <c r="AF130" s="205">
        <v>0</v>
      </c>
      <c r="AG130" s="215">
        <v>0</v>
      </c>
      <c r="AH130" s="215">
        <v>0</v>
      </c>
      <c r="AI130" s="216">
        <v>0</v>
      </c>
      <c r="AJ130" s="215">
        <v>0</v>
      </c>
      <c r="AK130" s="216">
        <v>0</v>
      </c>
      <c r="AL130" s="215">
        <v>0</v>
      </c>
      <c r="AM130" s="215">
        <v>0</v>
      </c>
      <c r="AN130" s="215">
        <v>0</v>
      </c>
      <c r="AO130" s="215">
        <v>0</v>
      </c>
      <c r="AP130" s="215">
        <v>0</v>
      </c>
      <c r="AQ130" s="215">
        <v>0</v>
      </c>
      <c r="AR130" s="215">
        <v>0</v>
      </c>
      <c r="AS130" s="215">
        <v>0</v>
      </c>
      <c r="AT130" s="216">
        <v>0</v>
      </c>
      <c r="AU130" s="216">
        <v>0</v>
      </c>
      <c r="AV130" s="216">
        <v>0</v>
      </c>
      <c r="AW130" s="216">
        <v>0</v>
      </c>
      <c r="AX130" s="216">
        <v>0</v>
      </c>
      <c r="AY130" s="216">
        <v>0</v>
      </c>
      <c r="AZ130" s="215">
        <v>10332</v>
      </c>
      <c r="BA130" s="216">
        <v>0</v>
      </c>
      <c r="BB130" s="216">
        <v>0</v>
      </c>
      <c r="BC130" s="215">
        <v>0</v>
      </c>
      <c r="BD130" s="215">
        <v>0</v>
      </c>
      <c r="BE130" s="215">
        <v>0</v>
      </c>
      <c r="BF130" s="215">
        <v>0</v>
      </c>
      <c r="BG130" s="215">
        <v>0</v>
      </c>
      <c r="BH130" s="215">
        <v>0</v>
      </c>
      <c r="BJ130" s="39">
        <f t="shared" si="26"/>
        <v>94301</v>
      </c>
      <c r="BK130" s="39"/>
      <c r="BL130" s="39">
        <f t="shared" si="14"/>
        <v>0</v>
      </c>
      <c r="BM130" s="39">
        <f t="shared" si="15"/>
        <v>94301</v>
      </c>
      <c r="BN130" s="216"/>
      <c r="BO130" s="209"/>
    </row>
    <row r="131" spans="1:67" ht="11.25" customHeight="1" outlineLevel="1">
      <c r="A131" s="206" t="s">
        <v>336</v>
      </c>
      <c r="B131" s="215">
        <v>0</v>
      </c>
      <c r="C131" s="215">
        <v>0</v>
      </c>
      <c r="D131" s="215">
        <v>0</v>
      </c>
      <c r="E131" s="215">
        <v>0</v>
      </c>
      <c r="F131" s="215">
        <v>140059</v>
      </c>
      <c r="G131" s="215">
        <v>15195</v>
      </c>
      <c r="H131" s="215">
        <v>0</v>
      </c>
      <c r="I131" s="215">
        <v>857908</v>
      </c>
      <c r="J131" s="215">
        <v>0</v>
      </c>
      <c r="K131" s="215">
        <v>761231</v>
      </c>
      <c r="L131" s="215">
        <v>0</v>
      </c>
      <c r="M131" s="39">
        <v>214</v>
      </c>
      <c r="N131" s="215">
        <v>0</v>
      </c>
      <c r="O131" s="215">
        <v>36374</v>
      </c>
      <c r="P131" s="215">
        <v>0</v>
      </c>
      <c r="Q131" s="215">
        <v>0</v>
      </c>
      <c r="R131" s="215">
        <f>21798+501482</f>
        <v>523280</v>
      </c>
      <c r="S131" s="215">
        <v>-372444</v>
      </c>
      <c r="T131" s="215">
        <v>0</v>
      </c>
      <c r="U131" s="215">
        <v>2849</v>
      </c>
      <c r="V131" s="215">
        <v>-17991</v>
      </c>
      <c r="W131" s="215">
        <v>14039</v>
      </c>
      <c r="X131" s="215">
        <v>4075</v>
      </c>
      <c r="Y131" s="215">
        <v>0</v>
      </c>
      <c r="Z131" s="298">
        <v>0</v>
      </c>
      <c r="AA131" s="215">
        <v>0</v>
      </c>
      <c r="AB131" s="215">
        <v>0</v>
      </c>
      <c r="AC131" s="215">
        <v>0</v>
      </c>
      <c r="AD131" s="215">
        <v>895</v>
      </c>
      <c r="AE131" s="215">
        <v>0</v>
      </c>
      <c r="AF131" s="205">
        <v>0</v>
      </c>
      <c r="AG131" s="215">
        <v>4582</v>
      </c>
      <c r="AH131" s="215">
        <v>371</v>
      </c>
      <c r="AI131" s="216">
        <v>1792</v>
      </c>
      <c r="AJ131" s="215">
        <v>0</v>
      </c>
      <c r="AK131" s="216">
        <v>0</v>
      </c>
      <c r="AL131" s="215">
        <v>0</v>
      </c>
      <c r="AM131" s="215">
        <v>159</v>
      </c>
      <c r="AN131" s="215">
        <v>0</v>
      </c>
      <c r="AO131" s="216">
        <v>445</v>
      </c>
      <c r="AP131" s="215">
        <v>0</v>
      </c>
      <c r="AQ131" s="215">
        <v>0</v>
      </c>
      <c r="AR131" s="215">
        <v>144</v>
      </c>
      <c r="AS131" s="215">
        <v>0</v>
      </c>
      <c r="AT131" s="216">
        <v>0</v>
      </c>
      <c r="AU131" s="216">
        <v>70.974</v>
      </c>
      <c r="AV131" s="216">
        <v>0</v>
      </c>
      <c r="AW131" s="216">
        <v>0</v>
      </c>
      <c r="AX131" s="216">
        <v>0</v>
      </c>
      <c r="AY131" s="215">
        <v>22</v>
      </c>
      <c r="AZ131" s="215">
        <v>939</v>
      </c>
      <c r="BA131" s="216">
        <v>0</v>
      </c>
      <c r="BB131" s="216">
        <v>0</v>
      </c>
      <c r="BC131" s="215">
        <v>0</v>
      </c>
      <c r="BD131" s="215">
        <v>0</v>
      </c>
      <c r="BE131" s="215">
        <v>0</v>
      </c>
      <c r="BF131" s="215">
        <v>0</v>
      </c>
      <c r="BG131" s="216">
        <v>25611</v>
      </c>
      <c r="BH131" s="216">
        <v>0</v>
      </c>
      <c r="BJ131" s="39">
        <f t="shared" si="26"/>
        <v>1999819.974</v>
      </c>
      <c r="BK131" s="39"/>
      <c r="BL131" s="39">
        <f t="shared" si="14"/>
        <v>25755</v>
      </c>
      <c r="BM131" s="39">
        <f t="shared" si="15"/>
        <v>1974064.974</v>
      </c>
      <c r="BN131" s="216"/>
      <c r="BO131" s="209"/>
    </row>
    <row r="132" spans="1:67" ht="11.25" customHeight="1">
      <c r="A132" s="229" t="s">
        <v>337</v>
      </c>
      <c r="B132" s="215">
        <f>SUM(B123:B131)</f>
        <v>53984853</v>
      </c>
      <c r="C132" s="215">
        <f aca="true" t="shared" si="27" ref="C132:BH132">SUM(C123:C131)</f>
        <v>17842489</v>
      </c>
      <c r="D132" s="215">
        <f t="shared" si="27"/>
        <v>297964</v>
      </c>
      <c r="E132" s="215">
        <f t="shared" si="27"/>
        <v>47405</v>
      </c>
      <c r="F132" s="215">
        <f t="shared" si="27"/>
        <v>31472846</v>
      </c>
      <c r="G132" s="215">
        <f t="shared" si="27"/>
        <v>16297757</v>
      </c>
      <c r="H132" s="215">
        <f t="shared" si="27"/>
        <v>15792627</v>
      </c>
      <c r="I132" s="215">
        <f t="shared" si="27"/>
        <v>18526721</v>
      </c>
      <c r="J132" s="215">
        <f t="shared" si="27"/>
        <v>369070</v>
      </c>
      <c r="K132" s="215">
        <f t="shared" si="27"/>
        <v>12542716</v>
      </c>
      <c r="L132" s="215">
        <f t="shared" si="27"/>
        <v>5000149</v>
      </c>
      <c r="M132" s="215">
        <f t="shared" si="27"/>
        <v>1940922</v>
      </c>
      <c r="N132" s="215">
        <f t="shared" si="27"/>
        <v>3862469</v>
      </c>
      <c r="O132" s="215">
        <f t="shared" si="27"/>
        <v>6596639</v>
      </c>
      <c r="P132" s="215">
        <f t="shared" si="27"/>
        <v>6598929</v>
      </c>
      <c r="Q132" s="215">
        <f t="shared" si="27"/>
        <v>2081560</v>
      </c>
      <c r="R132" s="215">
        <f t="shared" si="27"/>
        <v>6520973</v>
      </c>
      <c r="S132" s="215">
        <f t="shared" si="27"/>
        <v>16534</v>
      </c>
      <c r="T132" s="215">
        <f t="shared" si="27"/>
        <v>7846931</v>
      </c>
      <c r="U132" s="215">
        <f t="shared" si="27"/>
        <v>2701436</v>
      </c>
      <c r="V132" s="215">
        <f t="shared" si="27"/>
        <v>4206769</v>
      </c>
      <c r="W132" s="215">
        <f t="shared" si="27"/>
        <v>52931</v>
      </c>
      <c r="X132" s="215">
        <f t="shared" si="27"/>
        <v>2360954</v>
      </c>
      <c r="Y132" s="215">
        <f t="shared" si="27"/>
        <v>7300463</v>
      </c>
      <c r="Z132" s="215">
        <f t="shared" si="27"/>
        <v>6571913</v>
      </c>
      <c r="AA132" s="215">
        <f t="shared" si="27"/>
        <v>3359771</v>
      </c>
      <c r="AB132" s="215">
        <f t="shared" si="27"/>
        <v>7458652.545999999</v>
      </c>
      <c r="AC132" s="215">
        <f t="shared" si="27"/>
        <v>2187915</v>
      </c>
      <c r="AD132" s="215">
        <f t="shared" si="27"/>
        <v>2601658</v>
      </c>
      <c r="AE132" s="215">
        <f t="shared" si="27"/>
        <v>5242416</v>
      </c>
      <c r="AF132" s="215">
        <f t="shared" si="27"/>
        <v>488891.762</v>
      </c>
      <c r="AG132" s="215">
        <f t="shared" si="27"/>
        <v>4655256</v>
      </c>
      <c r="AH132" s="215">
        <f t="shared" si="27"/>
        <v>350232</v>
      </c>
      <c r="AI132" s="215">
        <f t="shared" si="27"/>
        <v>1351640</v>
      </c>
      <c r="AJ132" s="215">
        <f t="shared" si="27"/>
        <v>2573260</v>
      </c>
      <c r="AK132" s="215">
        <f t="shared" si="27"/>
        <v>217481.31199999998</v>
      </c>
      <c r="AL132" s="215">
        <f t="shared" si="27"/>
        <v>615496</v>
      </c>
      <c r="AM132" s="215">
        <f t="shared" si="27"/>
        <v>598524</v>
      </c>
      <c r="AN132" s="215">
        <f t="shared" si="27"/>
        <v>80414</v>
      </c>
      <c r="AO132" s="215">
        <f t="shared" si="27"/>
        <v>560505</v>
      </c>
      <c r="AP132" s="215">
        <f t="shared" si="27"/>
        <v>1030340</v>
      </c>
      <c r="AQ132" s="215">
        <f t="shared" si="27"/>
        <v>2042163</v>
      </c>
      <c r="AR132" s="215">
        <f t="shared" si="27"/>
        <v>480500</v>
      </c>
      <c r="AS132" s="215">
        <f t="shared" si="27"/>
        <v>88605</v>
      </c>
      <c r="AT132" s="215">
        <f t="shared" si="27"/>
        <v>238849</v>
      </c>
      <c r="AU132" s="215">
        <f t="shared" si="27"/>
        <v>569084.2840000001</v>
      </c>
      <c r="AV132" s="215">
        <f t="shared" si="27"/>
        <v>567078</v>
      </c>
      <c r="AW132" s="215">
        <f t="shared" si="27"/>
        <v>552229</v>
      </c>
      <c r="AX132" s="215">
        <f t="shared" si="27"/>
        <v>474706</v>
      </c>
      <c r="AY132" s="215">
        <f t="shared" si="27"/>
        <v>298614</v>
      </c>
      <c r="AZ132" s="215">
        <f t="shared" si="27"/>
        <v>106808</v>
      </c>
      <c r="BA132" s="215">
        <f t="shared" si="27"/>
        <v>357600</v>
      </c>
      <c r="BB132" s="215">
        <f t="shared" si="27"/>
        <v>312728</v>
      </c>
      <c r="BC132" s="215">
        <f t="shared" si="27"/>
        <v>63399.90699999999</v>
      </c>
      <c r="BD132" s="215">
        <f t="shared" si="27"/>
        <v>205519</v>
      </c>
      <c r="BE132" s="215">
        <f t="shared" si="27"/>
        <v>77969</v>
      </c>
      <c r="BF132" s="215">
        <f t="shared" si="27"/>
        <v>147290</v>
      </c>
      <c r="BG132" s="215">
        <f t="shared" si="27"/>
        <v>58281</v>
      </c>
      <c r="BH132" s="215">
        <f t="shared" si="27"/>
        <v>48</v>
      </c>
      <c r="BJ132" s="39">
        <f t="shared" si="26"/>
        <v>270847943.81100005</v>
      </c>
      <c r="BK132" s="39"/>
      <c r="BL132" s="39">
        <f t="shared" si="14"/>
        <v>66378903</v>
      </c>
      <c r="BM132" s="39">
        <f t="shared" si="15"/>
        <v>204469040.81100002</v>
      </c>
      <c r="BN132" s="216"/>
      <c r="BO132" s="209"/>
    </row>
    <row r="133" spans="1:67" ht="11.25" customHeight="1">
      <c r="A133" s="229"/>
      <c r="B133" s="215"/>
      <c r="C133" s="215"/>
      <c r="D133" s="215"/>
      <c r="E133" s="215"/>
      <c r="F133" s="218"/>
      <c r="G133" s="218"/>
      <c r="H133" s="218"/>
      <c r="I133" s="218"/>
      <c r="J133" s="218"/>
      <c r="K133" s="218"/>
      <c r="L133" s="218"/>
      <c r="M133" s="217"/>
      <c r="N133" s="218"/>
      <c r="O133" s="218"/>
      <c r="P133" s="218"/>
      <c r="Q133" s="218"/>
      <c r="R133" s="218"/>
      <c r="S133" s="218"/>
      <c r="T133" s="218"/>
      <c r="U133" s="217"/>
      <c r="V133" s="218"/>
      <c r="W133" s="218"/>
      <c r="X133" s="218"/>
      <c r="Y133" s="218"/>
      <c r="Z133" s="298"/>
      <c r="AA133" s="218"/>
      <c r="AB133" s="218"/>
      <c r="AC133" s="218"/>
      <c r="AD133" s="218"/>
      <c r="AE133" s="218"/>
      <c r="AG133" s="218"/>
      <c r="AH133" s="218"/>
      <c r="AJ133" s="218"/>
      <c r="AL133" s="217"/>
      <c r="AM133" s="218"/>
      <c r="AN133" s="218"/>
      <c r="AP133" s="218"/>
      <c r="AQ133" s="218"/>
      <c r="AR133" s="218"/>
      <c r="AS133" s="218"/>
      <c r="AV133" s="218"/>
      <c r="AX133" s="218"/>
      <c r="AY133" s="218"/>
      <c r="AZ133" s="218"/>
      <c r="BA133" s="218"/>
      <c r="BB133" s="218"/>
      <c r="BC133" s="218">
        <v>0</v>
      </c>
      <c r="BD133" s="218"/>
      <c r="BE133" s="218"/>
      <c r="BF133" s="218"/>
      <c r="BJ133" s="39"/>
      <c r="BK133" s="39"/>
      <c r="BL133" s="39"/>
      <c r="BM133" s="39"/>
      <c r="BN133" s="216"/>
      <c r="BO133" s="209"/>
    </row>
    <row r="134" spans="1:67" ht="11.25" customHeight="1" outlineLevel="1">
      <c r="A134" s="229" t="s">
        <v>338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7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36"/>
      <c r="AA134" s="215"/>
      <c r="AB134" s="215"/>
      <c r="AC134" s="215"/>
      <c r="AD134" s="215"/>
      <c r="AE134" s="215"/>
      <c r="AF134" s="216"/>
      <c r="AG134" s="215"/>
      <c r="AH134" s="215"/>
      <c r="AI134" s="216"/>
      <c r="AJ134" s="215"/>
      <c r="AK134" s="216"/>
      <c r="AL134" s="215"/>
      <c r="AM134" s="215"/>
      <c r="AN134" s="215"/>
      <c r="AO134" s="216"/>
      <c r="AP134" s="215"/>
      <c r="AQ134" s="215"/>
      <c r="AR134" s="215"/>
      <c r="AS134" s="215"/>
      <c r="AT134" s="216"/>
      <c r="AU134" s="216"/>
      <c r="AV134" s="215"/>
      <c r="AW134" s="216"/>
      <c r="AX134" s="215"/>
      <c r="AY134" s="215"/>
      <c r="AZ134" s="215"/>
      <c r="BA134" s="215"/>
      <c r="BB134" s="215"/>
      <c r="BC134" s="215">
        <v>0</v>
      </c>
      <c r="BD134" s="215"/>
      <c r="BE134" s="215"/>
      <c r="BF134" s="215"/>
      <c r="BG134" s="216"/>
      <c r="BH134" s="216"/>
      <c r="BJ134" s="39"/>
      <c r="BK134" s="39"/>
      <c r="BL134" s="39"/>
      <c r="BM134" s="39"/>
      <c r="BN134" s="216"/>
      <c r="BO134" s="209"/>
    </row>
    <row r="135" spans="1:67" ht="11.25" customHeight="1" outlineLevel="1">
      <c r="A135" s="206" t="s">
        <v>280</v>
      </c>
      <c r="B135" s="215">
        <v>9997550</v>
      </c>
      <c r="C135" s="215">
        <v>113829</v>
      </c>
      <c r="D135" s="215">
        <v>231807</v>
      </c>
      <c r="E135" s="215">
        <v>36882</v>
      </c>
      <c r="F135" s="215">
        <v>2333111</v>
      </c>
      <c r="G135" s="215">
        <v>2092860</v>
      </c>
      <c r="H135" s="215">
        <v>1284223</v>
      </c>
      <c r="I135" s="215">
        <v>1574103</v>
      </c>
      <c r="J135" s="215">
        <v>1439</v>
      </c>
      <c r="K135" s="215">
        <v>1041828</v>
      </c>
      <c r="L135" s="215">
        <v>308747</v>
      </c>
      <c r="M135" s="215">
        <v>19111</v>
      </c>
      <c r="N135" s="215">
        <v>7497</v>
      </c>
      <c r="O135" s="215">
        <v>274376</v>
      </c>
      <c r="P135" s="215">
        <v>621026</v>
      </c>
      <c r="Q135" s="215">
        <v>23078</v>
      </c>
      <c r="R135" s="215">
        <v>805105</v>
      </c>
      <c r="S135" s="215">
        <v>5168</v>
      </c>
      <c r="T135" s="215">
        <v>436836</v>
      </c>
      <c r="U135" s="215">
        <v>329997</v>
      </c>
      <c r="V135" s="215">
        <v>355107</v>
      </c>
      <c r="W135" s="215">
        <v>8644</v>
      </c>
      <c r="X135" s="215">
        <v>145231.2</v>
      </c>
      <c r="Y135" s="215">
        <v>504348</v>
      </c>
      <c r="Z135" s="300">
        <v>643882</v>
      </c>
      <c r="AA135" s="215">
        <v>313770</v>
      </c>
      <c r="AB135" s="215">
        <v>651220.053</v>
      </c>
      <c r="AC135" s="215">
        <v>1240770</v>
      </c>
      <c r="AD135" s="215">
        <v>303442</v>
      </c>
      <c r="AE135" s="215">
        <v>284813</v>
      </c>
      <c r="AF135" s="216">
        <v>1015.212</v>
      </c>
      <c r="AG135" s="215">
        <v>31663</v>
      </c>
      <c r="AH135" s="215">
        <v>1655</v>
      </c>
      <c r="AI135" s="216">
        <v>253912</v>
      </c>
      <c r="AJ135" s="215">
        <v>189592</v>
      </c>
      <c r="AK135" s="216">
        <v>1400.349</v>
      </c>
      <c r="AL135" s="215">
        <v>85241</v>
      </c>
      <c r="AM135" s="215">
        <v>121525</v>
      </c>
      <c r="AN135" s="215">
        <v>28971</v>
      </c>
      <c r="AO135" s="216">
        <v>67637</v>
      </c>
      <c r="AP135" s="215">
        <v>58349</v>
      </c>
      <c r="AQ135" s="215">
        <v>96112</v>
      </c>
      <c r="AR135" s="215">
        <v>88999</v>
      </c>
      <c r="AS135" s="215">
        <v>434</v>
      </c>
      <c r="AT135" s="216">
        <v>57937</v>
      </c>
      <c r="AU135" s="216">
        <v>51822.897</v>
      </c>
      <c r="AV135" s="215">
        <v>74959</v>
      </c>
      <c r="AW135" s="216">
        <v>170785</v>
      </c>
      <c r="AX135" s="215">
        <v>57251</v>
      </c>
      <c r="AY135" s="215">
        <v>37648</v>
      </c>
      <c r="AZ135" s="215">
        <v>39727</v>
      </c>
      <c r="BA135" s="215">
        <v>21697</v>
      </c>
      <c r="BB135" s="215">
        <v>38757</v>
      </c>
      <c r="BC135" s="215">
        <v>38358.02</v>
      </c>
      <c r="BD135" s="215">
        <v>35489</v>
      </c>
      <c r="BE135" s="215">
        <v>24558</v>
      </c>
      <c r="BF135" s="215">
        <v>140115</v>
      </c>
      <c r="BG135" s="216">
        <v>52655</v>
      </c>
      <c r="BH135" s="216">
        <v>942</v>
      </c>
      <c r="BJ135" s="39">
        <f t="shared" si="26"/>
        <v>27859006.731</v>
      </c>
      <c r="BK135" s="39"/>
      <c r="BL135" s="39">
        <f t="shared" si="14"/>
        <v>12914589</v>
      </c>
      <c r="BM135" s="39">
        <f t="shared" si="15"/>
        <v>14944417.730999997</v>
      </c>
      <c r="BN135" s="216"/>
      <c r="BO135" s="209"/>
    </row>
    <row r="136" spans="1:67" ht="11.25" customHeight="1" outlineLevel="1">
      <c r="A136" s="206" t="s">
        <v>339</v>
      </c>
      <c r="B136" s="215">
        <v>94580</v>
      </c>
      <c r="C136" s="215">
        <v>37999</v>
      </c>
      <c r="D136" s="215">
        <v>198</v>
      </c>
      <c r="E136" s="215">
        <v>0</v>
      </c>
      <c r="F136" s="215">
        <v>120348</v>
      </c>
      <c r="G136" s="215">
        <v>49400</v>
      </c>
      <c r="H136" s="215">
        <v>28606</v>
      </c>
      <c r="I136" s="215">
        <v>109371</v>
      </c>
      <c r="J136" s="215">
        <v>2124</v>
      </c>
      <c r="K136" s="215">
        <v>23495</v>
      </c>
      <c r="L136" s="215">
        <v>23132</v>
      </c>
      <c r="M136" s="39">
        <v>37</v>
      </c>
      <c r="N136" s="215">
        <v>7484</v>
      </c>
      <c r="O136" s="215">
        <v>34470</v>
      </c>
      <c r="P136" s="215">
        <v>5751</v>
      </c>
      <c r="Q136" s="215">
        <v>1371</v>
      </c>
      <c r="R136" s="215">
        <v>20389</v>
      </c>
      <c r="S136" s="215">
        <v>1986</v>
      </c>
      <c r="T136" s="215">
        <v>10246</v>
      </c>
      <c r="U136" s="215">
        <v>7134</v>
      </c>
      <c r="V136" s="215">
        <v>18565</v>
      </c>
      <c r="W136" s="215">
        <v>403</v>
      </c>
      <c r="X136" s="215">
        <v>21603.4</v>
      </c>
      <c r="Y136" s="215">
        <v>-217</v>
      </c>
      <c r="Z136" s="300">
        <v>13229</v>
      </c>
      <c r="AA136" s="215">
        <v>13463</v>
      </c>
      <c r="AB136" s="215">
        <v>17874.895</v>
      </c>
      <c r="AC136" s="215">
        <v>0</v>
      </c>
      <c r="AD136" s="215">
        <v>15444</v>
      </c>
      <c r="AE136" s="215">
        <v>593</v>
      </c>
      <c r="AF136" s="216">
        <v>1544.955</v>
      </c>
      <c r="AG136" s="215">
        <v>6116</v>
      </c>
      <c r="AH136" s="215">
        <v>526</v>
      </c>
      <c r="AI136" s="216">
        <v>0</v>
      </c>
      <c r="AJ136" s="215">
        <v>41788</v>
      </c>
      <c r="AK136" s="216">
        <v>1157.195</v>
      </c>
      <c r="AL136" s="215">
        <v>804</v>
      </c>
      <c r="AM136" s="215">
        <v>3739</v>
      </c>
      <c r="AN136" s="215">
        <v>339</v>
      </c>
      <c r="AO136" s="216">
        <v>5618</v>
      </c>
      <c r="AP136" s="215">
        <v>3186</v>
      </c>
      <c r="AQ136" s="215">
        <v>2046</v>
      </c>
      <c r="AR136" s="215">
        <v>1755</v>
      </c>
      <c r="AS136" s="215">
        <v>0</v>
      </c>
      <c r="AT136" s="216">
        <v>1977</v>
      </c>
      <c r="AU136" s="216">
        <v>0</v>
      </c>
      <c r="AV136" s="215">
        <v>832</v>
      </c>
      <c r="AW136" s="216">
        <v>1149</v>
      </c>
      <c r="AX136" s="215">
        <v>380</v>
      </c>
      <c r="AY136" s="215">
        <v>645</v>
      </c>
      <c r="AZ136" s="215">
        <v>298</v>
      </c>
      <c r="BA136" s="215">
        <v>29</v>
      </c>
      <c r="BB136" s="215">
        <v>95</v>
      </c>
      <c r="BC136" s="215">
        <v>0</v>
      </c>
      <c r="BD136" s="215">
        <v>0</v>
      </c>
      <c r="BE136" s="215">
        <v>1396</v>
      </c>
      <c r="BF136" s="215">
        <v>0</v>
      </c>
      <c r="BG136" s="215">
        <v>0</v>
      </c>
      <c r="BH136" s="215">
        <v>0</v>
      </c>
      <c r="BJ136" s="39">
        <f t="shared" si="26"/>
        <v>754499.445</v>
      </c>
      <c r="BK136" s="39"/>
      <c r="BL136" s="39">
        <f t="shared" si="14"/>
        <v>115836</v>
      </c>
      <c r="BM136" s="39">
        <f t="shared" si="15"/>
        <v>638663.445</v>
      </c>
      <c r="BN136" s="216"/>
      <c r="BO136" s="209"/>
    </row>
    <row r="137" spans="1:67" ht="11.25" customHeight="1" outlineLevel="1">
      <c r="A137" s="206" t="s">
        <v>340</v>
      </c>
      <c r="B137" s="215">
        <v>124327</v>
      </c>
      <c r="C137" s="215">
        <v>32465</v>
      </c>
      <c r="D137" s="215">
        <v>3357</v>
      </c>
      <c r="E137" s="215">
        <v>866</v>
      </c>
      <c r="F137" s="215">
        <v>122633</v>
      </c>
      <c r="G137" s="215">
        <v>107835</v>
      </c>
      <c r="H137" s="215">
        <v>71667</v>
      </c>
      <c r="I137" s="215">
        <v>74334</v>
      </c>
      <c r="J137" s="215">
        <v>2124</v>
      </c>
      <c r="K137" s="215">
        <v>47899</v>
      </c>
      <c r="L137" s="215">
        <v>47488</v>
      </c>
      <c r="M137" s="39">
        <v>10309</v>
      </c>
      <c r="N137" s="215">
        <v>3759</v>
      </c>
      <c r="O137" s="215">
        <v>25433</v>
      </c>
      <c r="P137" s="215">
        <v>27092</v>
      </c>
      <c r="Q137" s="215">
        <v>6554</v>
      </c>
      <c r="R137" s="215">
        <v>22008</v>
      </c>
      <c r="S137" s="215">
        <v>9380</v>
      </c>
      <c r="T137" s="215">
        <v>22639</v>
      </c>
      <c r="U137" s="215">
        <v>14095</v>
      </c>
      <c r="V137" s="215">
        <v>17748</v>
      </c>
      <c r="W137" s="215">
        <v>784</v>
      </c>
      <c r="X137" s="215">
        <v>28084</v>
      </c>
      <c r="Y137" s="215">
        <v>54518</v>
      </c>
      <c r="Z137" s="300">
        <v>16634</v>
      </c>
      <c r="AA137" s="215">
        <v>20263</v>
      </c>
      <c r="AB137" s="215">
        <v>24394.734</v>
      </c>
      <c r="AC137" s="215">
        <v>32228</v>
      </c>
      <c r="AD137" s="215">
        <v>12325</v>
      </c>
      <c r="AE137" s="215">
        <v>11374</v>
      </c>
      <c r="AF137" s="216">
        <v>1439.886</v>
      </c>
      <c r="AG137" s="215">
        <v>35974</v>
      </c>
      <c r="AH137" s="215">
        <v>2719</v>
      </c>
      <c r="AI137" s="216">
        <v>3258</v>
      </c>
      <c r="AJ137" s="215">
        <v>17462</v>
      </c>
      <c r="AK137" s="216">
        <v>1206.575</v>
      </c>
      <c r="AL137" s="215">
        <v>2402</v>
      </c>
      <c r="AM137" s="215">
        <v>7195</v>
      </c>
      <c r="AN137" s="215">
        <v>906</v>
      </c>
      <c r="AO137" s="216">
        <v>4027</v>
      </c>
      <c r="AP137" s="215">
        <v>4849</v>
      </c>
      <c r="AQ137" s="215">
        <v>968</v>
      </c>
      <c r="AR137" s="215">
        <v>3768</v>
      </c>
      <c r="AS137" s="215">
        <v>152</v>
      </c>
      <c r="AT137" s="216">
        <v>7907</v>
      </c>
      <c r="AU137" s="216">
        <v>3080.927</v>
      </c>
      <c r="AV137" s="215">
        <v>2351</v>
      </c>
      <c r="AW137" s="216">
        <v>3706</v>
      </c>
      <c r="AX137" s="215">
        <v>680</v>
      </c>
      <c r="AY137" s="215">
        <v>675</v>
      </c>
      <c r="AZ137" s="215">
        <v>1000</v>
      </c>
      <c r="BA137" s="215">
        <v>2715</v>
      </c>
      <c r="BB137" s="215">
        <v>1086</v>
      </c>
      <c r="BC137" s="215">
        <v>383.018</v>
      </c>
      <c r="BD137" s="215">
        <v>1278</v>
      </c>
      <c r="BE137" s="215">
        <v>1396</v>
      </c>
      <c r="BF137" s="215">
        <v>2344</v>
      </c>
      <c r="BG137" s="216">
        <v>3005</v>
      </c>
      <c r="BH137" s="216">
        <v>243</v>
      </c>
      <c r="BJ137" s="39">
        <f t="shared" si="26"/>
        <v>1112793.14</v>
      </c>
      <c r="BK137" s="39"/>
      <c r="BL137" s="39">
        <f t="shared" si="14"/>
        <v>207519</v>
      </c>
      <c r="BM137" s="39">
        <f t="shared" si="15"/>
        <v>905274.1400000001</v>
      </c>
      <c r="BN137" s="216"/>
      <c r="BO137" s="209"/>
    </row>
    <row r="138" spans="1:67" ht="11.25" customHeight="1" outlineLevel="1">
      <c r="A138" s="206" t="s">
        <v>341</v>
      </c>
      <c r="B138" s="215">
        <v>28058</v>
      </c>
      <c r="C138" s="215">
        <v>28058</v>
      </c>
      <c r="D138" s="215">
        <v>0</v>
      </c>
      <c r="E138" s="215">
        <v>0</v>
      </c>
      <c r="F138" s="215">
        <v>0</v>
      </c>
      <c r="G138" s="215">
        <v>0</v>
      </c>
      <c r="H138" s="215">
        <v>0</v>
      </c>
      <c r="I138" s="215">
        <v>0</v>
      </c>
      <c r="J138" s="215">
        <v>0</v>
      </c>
      <c r="K138" s="215">
        <v>0</v>
      </c>
      <c r="L138" s="215">
        <v>3057</v>
      </c>
      <c r="M138" s="217">
        <v>0</v>
      </c>
      <c r="N138" s="215">
        <v>0</v>
      </c>
      <c r="O138" s="215">
        <v>0</v>
      </c>
      <c r="P138" s="215">
        <v>0</v>
      </c>
      <c r="Q138" s="215">
        <v>0</v>
      </c>
      <c r="R138" s="215">
        <v>0</v>
      </c>
      <c r="S138" s="215">
        <v>0</v>
      </c>
      <c r="T138" s="215">
        <v>0</v>
      </c>
      <c r="U138" s="215">
        <v>19517</v>
      </c>
      <c r="V138" s="215">
        <v>0</v>
      </c>
      <c r="W138" s="215">
        <v>0</v>
      </c>
      <c r="X138" s="215">
        <v>0</v>
      </c>
      <c r="Y138" s="215">
        <v>0</v>
      </c>
      <c r="Z138" s="300">
        <v>6235</v>
      </c>
      <c r="AA138" s="215">
        <v>0</v>
      </c>
      <c r="AB138" s="215">
        <v>0</v>
      </c>
      <c r="AC138" s="215">
        <v>0</v>
      </c>
      <c r="AD138" s="215">
        <v>0</v>
      </c>
      <c r="AE138" s="215">
        <v>0</v>
      </c>
      <c r="AF138" s="215">
        <v>0</v>
      </c>
      <c r="AG138" s="215">
        <v>0</v>
      </c>
      <c r="AH138" s="215">
        <v>0</v>
      </c>
      <c r="AI138" s="216">
        <v>0</v>
      </c>
      <c r="AJ138" s="215">
        <v>0</v>
      </c>
      <c r="AK138" s="215">
        <v>0</v>
      </c>
      <c r="AL138" s="215">
        <v>0</v>
      </c>
      <c r="AM138" s="215">
        <v>0</v>
      </c>
      <c r="AN138" s="215">
        <v>0</v>
      </c>
      <c r="AO138" s="215">
        <v>0</v>
      </c>
      <c r="AP138" s="215">
        <v>0</v>
      </c>
      <c r="AQ138" s="215">
        <v>0</v>
      </c>
      <c r="AR138" s="215">
        <v>0</v>
      </c>
      <c r="AS138" s="215">
        <v>0</v>
      </c>
      <c r="AT138" s="216">
        <v>1334</v>
      </c>
      <c r="AU138" s="216">
        <v>0</v>
      </c>
      <c r="AV138" s="216">
        <v>0</v>
      </c>
      <c r="AW138" s="216">
        <v>0</v>
      </c>
      <c r="AX138" s="216">
        <v>0</v>
      </c>
      <c r="AY138" s="216">
        <v>0</v>
      </c>
      <c r="AZ138" s="216">
        <v>0</v>
      </c>
      <c r="BA138" s="216">
        <v>0</v>
      </c>
      <c r="BB138" s="216">
        <v>0</v>
      </c>
      <c r="BC138" s="215">
        <v>0</v>
      </c>
      <c r="BD138" s="215">
        <v>0</v>
      </c>
      <c r="BE138" s="215">
        <v>0</v>
      </c>
      <c r="BF138" s="215">
        <v>0</v>
      </c>
      <c r="BG138" s="215">
        <v>0</v>
      </c>
      <c r="BH138" s="216">
        <v>0</v>
      </c>
      <c r="BJ138" s="39">
        <f t="shared" si="26"/>
        <v>86259</v>
      </c>
      <c r="BK138" s="39"/>
      <c r="BL138" s="39">
        <f t="shared" si="14"/>
        <v>35627</v>
      </c>
      <c r="BM138" s="39">
        <f t="shared" si="15"/>
        <v>50632</v>
      </c>
      <c r="BN138" s="216"/>
      <c r="BO138" s="209"/>
    </row>
    <row r="139" spans="1:67" ht="11.25" customHeight="1" outlineLevel="1">
      <c r="A139" s="206" t="s">
        <v>342</v>
      </c>
      <c r="B139" s="218">
        <v>0</v>
      </c>
      <c r="C139" s="218">
        <v>0</v>
      </c>
      <c r="D139" s="218">
        <v>0</v>
      </c>
      <c r="E139" s="218">
        <v>0</v>
      </c>
      <c r="F139" s="215">
        <v>46928</v>
      </c>
      <c r="G139" s="215">
        <v>0</v>
      </c>
      <c r="H139" s="215">
        <v>0</v>
      </c>
      <c r="I139" s="215">
        <v>2943698</v>
      </c>
      <c r="J139" s="215">
        <v>363383</v>
      </c>
      <c r="K139" s="215">
        <v>-57295</v>
      </c>
      <c r="L139" s="215"/>
      <c r="M139" s="39">
        <v>0</v>
      </c>
      <c r="N139" s="215">
        <v>-575</v>
      </c>
      <c r="O139" s="215">
        <f>83029-920</f>
        <v>82109</v>
      </c>
      <c r="P139" s="215">
        <v>421</v>
      </c>
      <c r="Q139" s="215">
        <v>38</v>
      </c>
      <c r="R139" s="215">
        <v>0</v>
      </c>
      <c r="S139" s="215">
        <v>0</v>
      </c>
      <c r="T139" s="215">
        <v>-6343</v>
      </c>
      <c r="U139" s="215">
        <v>0</v>
      </c>
      <c r="V139" s="215">
        <v>10579</v>
      </c>
      <c r="W139" s="215">
        <v>9191</v>
      </c>
      <c r="X139" s="215">
        <v>-53437.3</v>
      </c>
      <c r="Y139" s="215">
        <v>0</v>
      </c>
      <c r="Z139" s="215">
        <v>0</v>
      </c>
      <c r="AA139" s="215">
        <v>888</v>
      </c>
      <c r="AB139" s="215">
        <v>0</v>
      </c>
      <c r="AC139" s="215">
        <v>0</v>
      </c>
      <c r="AD139" s="215">
        <v>0</v>
      </c>
      <c r="AE139" s="215">
        <v>5348</v>
      </c>
      <c r="AF139" s="216">
        <v>0</v>
      </c>
      <c r="AG139" s="215">
        <v>0</v>
      </c>
      <c r="AH139" s="215">
        <v>0</v>
      </c>
      <c r="AI139" s="216">
        <v>0</v>
      </c>
      <c r="AJ139" s="215">
        <v>0</v>
      </c>
      <c r="AK139" s="216">
        <v>0</v>
      </c>
      <c r="AL139" s="215">
        <v>10942</v>
      </c>
      <c r="AM139" s="215">
        <v>11032</v>
      </c>
      <c r="AN139" s="215">
        <v>8189</v>
      </c>
      <c r="AO139" s="216">
        <v>0</v>
      </c>
      <c r="AP139" s="215">
        <v>0</v>
      </c>
      <c r="AQ139" s="215">
        <v>0</v>
      </c>
      <c r="AR139" s="215">
        <v>1493</v>
      </c>
      <c r="AS139" s="215">
        <v>19111</v>
      </c>
      <c r="AT139" s="216"/>
      <c r="AU139" s="216">
        <v>0</v>
      </c>
      <c r="AV139" s="216">
        <v>0</v>
      </c>
      <c r="AW139" s="216">
        <v>145</v>
      </c>
      <c r="AX139" s="216">
        <v>0</v>
      </c>
      <c r="AY139" s="216">
        <v>0</v>
      </c>
      <c r="AZ139" s="215">
        <v>1784</v>
      </c>
      <c r="BA139" s="216">
        <v>0</v>
      </c>
      <c r="BB139" s="215">
        <v>0</v>
      </c>
      <c r="BC139" s="215">
        <v>0.312</v>
      </c>
      <c r="BD139" s="215">
        <v>0.312</v>
      </c>
      <c r="BE139" s="215">
        <v>0.312</v>
      </c>
      <c r="BF139" s="215">
        <v>0.312</v>
      </c>
      <c r="BG139" s="215">
        <v>0.312</v>
      </c>
      <c r="BH139" s="216">
        <v>307</v>
      </c>
      <c r="BJ139" s="39">
        <f t="shared" si="26"/>
        <v>3397937.26</v>
      </c>
      <c r="BK139" s="39"/>
      <c r="BL139" s="39">
        <f aca="true" t="shared" si="28" ref="BL139:BL159">+B139+D139+E139+Z139+AC139+AL139+AN139+AR139+AT139+AW139+AX139+BA139+BD139+BE139+BF139+BG139</f>
        <v>20770.248000000007</v>
      </c>
      <c r="BM139" s="39">
        <f aca="true" t="shared" si="29" ref="BM139:BM159">+C139+F139+G139+H139+I139+J139+K139+L139+M139+N139+O139+P139+Q139+R139+S139+T139+U139+V139+W139+X139+Y139+AA139+AB139+AD139+AE139+AF139+AG139+AH139+AI139+AJ139+AK139+AM139+AO139+AP139+AQ139+AS139+AU139+AV139+AY139+AZ139+BB139+BC139+BH139</f>
        <v>3377167.012</v>
      </c>
      <c r="BN139" s="216"/>
      <c r="BO139" s="209"/>
    </row>
    <row r="140" spans="1:67" ht="11.25" customHeight="1">
      <c r="A140" s="229" t="s">
        <v>343</v>
      </c>
      <c r="B140" s="215">
        <f>SUM(B135:B139)</f>
        <v>10244515</v>
      </c>
      <c r="C140" s="215">
        <f aca="true" t="shared" si="30" ref="C140:BH140">SUM(C135:C139)</f>
        <v>212351</v>
      </c>
      <c r="D140" s="215">
        <f t="shared" si="30"/>
        <v>235362</v>
      </c>
      <c r="E140" s="215">
        <f t="shared" si="30"/>
        <v>37748</v>
      </c>
      <c r="F140" s="215">
        <f t="shared" si="30"/>
        <v>2623020</v>
      </c>
      <c r="G140" s="215">
        <f t="shared" si="30"/>
        <v>2250095</v>
      </c>
      <c r="H140" s="215">
        <f t="shared" si="30"/>
        <v>1384496</v>
      </c>
      <c r="I140" s="215">
        <f t="shared" si="30"/>
        <v>4701506</v>
      </c>
      <c r="J140" s="215">
        <f t="shared" si="30"/>
        <v>369070</v>
      </c>
      <c r="K140" s="215">
        <f t="shared" si="30"/>
        <v>1055927</v>
      </c>
      <c r="L140" s="215">
        <f t="shared" si="30"/>
        <v>382424</v>
      </c>
      <c r="M140" s="215">
        <f t="shared" si="30"/>
        <v>29457</v>
      </c>
      <c r="N140" s="215">
        <f t="shared" si="30"/>
        <v>18165</v>
      </c>
      <c r="O140" s="215">
        <f t="shared" si="30"/>
        <v>416388</v>
      </c>
      <c r="P140" s="215">
        <f t="shared" si="30"/>
        <v>654290</v>
      </c>
      <c r="Q140" s="215">
        <f t="shared" si="30"/>
        <v>31041</v>
      </c>
      <c r="R140" s="215">
        <f t="shared" si="30"/>
        <v>847502</v>
      </c>
      <c r="S140" s="215">
        <f t="shared" si="30"/>
        <v>16534</v>
      </c>
      <c r="T140" s="215">
        <f t="shared" si="30"/>
        <v>463378</v>
      </c>
      <c r="U140" s="215">
        <f t="shared" si="30"/>
        <v>370743</v>
      </c>
      <c r="V140" s="215">
        <f t="shared" si="30"/>
        <v>401999</v>
      </c>
      <c r="W140" s="215">
        <f t="shared" si="30"/>
        <v>19022</v>
      </c>
      <c r="X140" s="215">
        <f t="shared" si="30"/>
        <v>141481.3</v>
      </c>
      <c r="Y140" s="215">
        <f t="shared" si="30"/>
        <v>558649</v>
      </c>
      <c r="Z140" s="215">
        <f t="shared" si="30"/>
        <v>679980</v>
      </c>
      <c r="AA140" s="215">
        <f t="shared" si="30"/>
        <v>348384</v>
      </c>
      <c r="AB140" s="215">
        <f t="shared" si="30"/>
        <v>693489.682</v>
      </c>
      <c r="AC140" s="215">
        <f t="shared" si="30"/>
        <v>1272998</v>
      </c>
      <c r="AD140" s="215">
        <f t="shared" si="30"/>
        <v>331211</v>
      </c>
      <c r="AE140" s="215">
        <f t="shared" si="30"/>
        <v>302128</v>
      </c>
      <c r="AF140" s="215">
        <f t="shared" si="30"/>
        <v>4000.053</v>
      </c>
      <c r="AG140" s="215">
        <f t="shared" si="30"/>
        <v>73753</v>
      </c>
      <c r="AH140" s="215">
        <f t="shared" si="30"/>
        <v>4900</v>
      </c>
      <c r="AI140" s="215">
        <f t="shared" si="30"/>
        <v>257170</v>
      </c>
      <c r="AJ140" s="215">
        <f t="shared" si="30"/>
        <v>248842</v>
      </c>
      <c r="AK140" s="215">
        <f t="shared" si="30"/>
        <v>3764.1189999999997</v>
      </c>
      <c r="AL140" s="215">
        <f t="shared" si="30"/>
        <v>99389</v>
      </c>
      <c r="AM140" s="215">
        <f t="shared" si="30"/>
        <v>143491</v>
      </c>
      <c r="AN140" s="215">
        <f t="shared" si="30"/>
        <v>38405</v>
      </c>
      <c r="AO140" s="215">
        <f t="shared" si="30"/>
        <v>77282</v>
      </c>
      <c r="AP140" s="215">
        <f t="shared" si="30"/>
        <v>66384</v>
      </c>
      <c r="AQ140" s="215">
        <f t="shared" si="30"/>
        <v>99126</v>
      </c>
      <c r="AR140" s="215">
        <f t="shared" si="30"/>
        <v>96015</v>
      </c>
      <c r="AS140" s="215">
        <f t="shared" si="30"/>
        <v>19697</v>
      </c>
      <c r="AT140" s="215">
        <f t="shared" si="30"/>
        <v>69155</v>
      </c>
      <c r="AU140" s="215">
        <f t="shared" si="30"/>
        <v>54903.824</v>
      </c>
      <c r="AV140" s="215">
        <f t="shared" si="30"/>
        <v>78142</v>
      </c>
      <c r="AW140" s="215">
        <f t="shared" si="30"/>
        <v>175785</v>
      </c>
      <c r="AX140" s="215">
        <f t="shared" si="30"/>
        <v>58311</v>
      </c>
      <c r="AY140" s="215">
        <f t="shared" si="30"/>
        <v>38968</v>
      </c>
      <c r="AZ140" s="215">
        <f t="shared" si="30"/>
        <v>42809</v>
      </c>
      <c r="BA140" s="215">
        <f t="shared" si="30"/>
        <v>24441</v>
      </c>
      <c r="BB140" s="215">
        <f t="shared" si="30"/>
        <v>39938</v>
      </c>
      <c r="BC140" s="215">
        <f t="shared" si="30"/>
        <v>38741.34999999999</v>
      </c>
      <c r="BD140" s="215">
        <f t="shared" si="30"/>
        <v>36767.312</v>
      </c>
      <c r="BE140" s="215">
        <f t="shared" si="30"/>
        <v>27350.312</v>
      </c>
      <c r="BF140" s="215">
        <f t="shared" si="30"/>
        <v>142459.312</v>
      </c>
      <c r="BG140" s="215">
        <f t="shared" si="30"/>
        <v>55660.312</v>
      </c>
      <c r="BH140" s="215">
        <f t="shared" si="30"/>
        <v>1492</v>
      </c>
      <c r="BJ140" s="39">
        <f t="shared" si="26"/>
        <v>33210495.575999998</v>
      </c>
      <c r="BK140" s="39"/>
      <c r="BL140" s="39">
        <f t="shared" si="28"/>
        <v>13294341.248000003</v>
      </c>
      <c r="BM140" s="39">
        <f t="shared" si="29"/>
        <v>19916154.328</v>
      </c>
      <c r="BN140" s="216"/>
      <c r="BO140" s="209"/>
    </row>
    <row r="141" spans="1:67" ht="11.25" customHeight="1">
      <c r="A141" s="39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J141" s="39"/>
      <c r="BK141" s="39"/>
      <c r="BL141" s="39"/>
      <c r="BM141" s="39"/>
      <c r="BN141" s="216"/>
      <c r="BO141" s="209"/>
    </row>
    <row r="142" spans="1:67" ht="11.25" customHeight="1">
      <c r="A142" s="229" t="s">
        <v>344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J142" s="39"/>
      <c r="BK142" s="39"/>
      <c r="BL142" s="39"/>
      <c r="BM142" s="39"/>
      <c r="BN142" s="216"/>
      <c r="BO142" s="209"/>
    </row>
    <row r="143" spans="1:67" ht="11.25" customHeight="1">
      <c r="A143" s="229" t="s">
        <v>345</v>
      </c>
      <c r="B143" s="215">
        <f>+B132-B140</f>
        <v>43740338</v>
      </c>
      <c r="C143" s="215">
        <f aca="true" t="shared" si="31" ref="C143:BH143">+C132-C140</f>
        <v>17630138</v>
      </c>
      <c r="D143" s="215">
        <f t="shared" si="31"/>
        <v>62602</v>
      </c>
      <c r="E143" s="215">
        <f t="shared" si="31"/>
        <v>9657</v>
      </c>
      <c r="F143" s="215">
        <f t="shared" si="31"/>
        <v>28849826</v>
      </c>
      <c r="G143" s="215">
        <f t="shared" si="31"/>
        <v>14047662</v>
      </c>
      <c r="H143" s="215">
        <f t="shared" si="31"/>
        <v>14408131</v>
      </c>
      <c r="I143" s="215">
        <f t="shared" si="31"/>
        <v>13825215</v>
      </c>
      <c r="J143" s="215">
        <f t="shared" si="31"/>
        <v>0</v>
      </c>
      <c r="K143" s="215">
        <f t="shared" si="31"/>
        <v>11486789</v>
      </c>
      <c r="L143" s="215">
        <f t="shared" si="31"/>
        <v>4617725</v>
      </c>
      <c r="M143" s="215">
        <f t="shared" si="31"/>
        <v>1911465</v>
      </c>
      <c r="N143" s="215">
        <f t="shared" si="31"/>
        <v>3844304</v>
      </c>
      <c r="O143" s="215">
        <f t="shared" si="31"/>
        <v>6180251</v>
      </c>
      <c r="P143" s="215">
        <f t="shared" si="31"/>
        <v>5944639</v>
      </c>
      <c r="Q143" s="215">
        <f t="shared" si="31"/>
        <v>2050519</v>
      </c>
      <c r="R143" s="215">
        <f t="shared" si="31"/>
        <v>5673471</v>
      </c>
      <c r="S143" s="215">
        <f t="shared" si="31"/>
        <v>0</v>
      </c>
      <c r="T143" s="215">
        <f t="shared" si="31"/>
        <v>7383553</v>
      </c>
      <c r="U143" s="215">
        <f t="shared" si="31"/>
        <v>2330693</v>
      </c>
      <c r="V143" s="215">
        <f t="shared" si="31"/>
        <v>3804770</v>
      </c>
      <c r="W143" s="215">
        <f t="shared" si="31"/>
        <v>33909</v>
      </c>
      <c r="X143" s="215">
        <f t="shared" si="31"/>
        <v>2219472.7</v>
      </c>
      <c r="Y143" s="215">
        <f t="shared" si="31"/>
        <v>6741814</v>
      </c>
      <c r="Z143" s="215">
        <f t="shared" si="31"/>
        <v>5891933</v>
      </c>
      <c r="AA143" s="215">
        <f t="shared" si="31"/>
        <v>3011387</v>
      </c>
      <c r="AB143" s="215">
        <f t="shared" si="31"/>
        <v>6765162.863999999</v>
      </c>
      <c r="AC143" s="215">
        <f t="shared" si="31"/>
        <v>914917</v>
      </c>
      <c r="AD143" s="215">
        <f t="shared" si="31"/>
        <v>2270447</v>
      </c>
      <c r="AE143" s="215">
        <f t="shared" si="31"/>
        <v>4940288</v>
      </c>
      <c r="AF143" s="215">
        <f t="shared" si="31"/>
        <v>484891.709</v>
      </c>
      <c r="AG143" s="215">
        <f t="shared" si="31"/>
        <v>4581503</v>
      </c>
      <c r="AH143" s="215">
        <f t="shared" si="31"/>
        <v>345332</v>
      </c>
      <c r="AI143" s="215">
        <f t="shared" si="31"/>
        <v>1094470</v>
      </c>
      <c r="AJ143" s="215">
        <f t="shared" si="31"/>
        <v>2324418</v>
      </c>
      <c r="AK143" s="215">
        <f t="shared" si="31"/>
        <v>213717.19299999997</v>
      </c>
      <c r="AL143" s="215">
        <f t="shared" si="31"/>
        <v>516107</v>
      </c>
      <c r="AM143" s="215">
        <f t="shared" si="31"/>
        <v>455033</v>
      </c>
      <c r="AN143" s="215">
        <f t="shared" si="31"/>
        <v>42009</v>
      </c>
      <c r="AO143" s="215">
        <f t="shared" si="31"/>
        <v>483223</v>
      </c>
      <c r="AP143" s="215">
        <f t="shared" si="31"/>
        <v>963956</v>
      </c>
      <c r="AQ143" s="215">
        <f t="shared" si="31"/>
        <v>1943037</v>
      </c>
      <c r="AR143" s="215">
        <f t="shared" si="31"/>
        <v>384485</v>
      </c>
      <c r="AS143" s="215">
        <f t="shared" si="31"/>
        <v>68908</v>
      </c>
      <c r="AT143" s="215">
        <f t="shared" si="31"/>
        <v>169694</v>
      </c>
      <c r="AU143" s="215">
        <f t="shared" si="31"/>
        <v>514180.4600000001</v>
      </c>
      <c r="AV143" s="215">
        <f t="shared" si="31"/>
        <v>488936</v>
      </c>
      <c r="AW143" s="215">
        <f t="shared" si="31"/>
        <v>376444</v>
      </c>
      <c r="AX143" s="215">
        <f t="shared" si="31"/>
        <v>416395</v>
      </c>
      <c r="AY143" s="215">
        <f t="shared" si="31"/>
        <v>259646</v>
      </c>
      <c r="AZ143" s="215">
        <f t="shared" si="31"/>
        <v>63999</v>
      </c>
      <c r="BA143" s="215">
        <f t="shared" si="31"/>
        <v>333159</v>
      </c>
      <c r="BB143" s="215">
        <f t="shared" si="31"/>
        <v>272790</v>
      </c>
      <c r="BC143" s="215">
        <f t="shared" si="31"/>
        <v>24658.557</v>
      </c>
      <c r="BD143" s="215">
        <f t="shared" si="31"/>
        <v>168751.688</v>
      </c>
      <c r="BE143" s="215">
        <f t="shared" si="31"/>
        <v>50618.687999999995</v>
      </c>
      <c r="BF143" s="215">
        <f t="shared" si="31"/>
        <v>4830.687999999995</v>
      </c>
      <c r="BG143" s="215">
        <f t="shared" si="31"/>
        <v>2620.688000000002</v>
      </c>
      <c r="BH143" s="215">
        <f t="shared" si="31"/>
        <v>-1444</v>
      </c>
      <c r="BJ143" s="39">
        <f t="shared" si="26"/>
        <v>237637448.23499995</v>
      </c>
      <c r="BK143" s="39"/>
      <c r="BL143" s="39">
        <f t="shared" si="28"/>
        <v>53084561.752000004</v>
      </c>
      <c r="BM143" s="39">
        <f t="shared" si="29"/>
        <v>184552886.48299998</v>
      </c>
      <c r="BN143" s="216"/>
      <c r="BO143" s="209"/>
    </row>
    <row r="144" spans="1:67" ht="11.25" customHeight="1">
      <c r="A144" s="229"/>
      <c r="B144" s="215"/>
      <c r="C144" s="215"/>
      <c r="D144" s="215"/>
      <c r="E144" s="215"/>
      <c r="F144" s="218"/>
      <c r="G144" s="218"/>
      <c r="H144" s="218"/>
      <c r="I144" s="218"/>
      <c r="J144" s="218"/>
      <c r="K144" s="218"/>
      <c r="L144" s="218"/>
      <c r="M144" s="217"/>
      <c r="N144" s="218"/>
      <c r="O144" s="218"/>
      <c r="P144" s="218"/>
      <c r="Q144" s="218"/>
      <c r="R144" s="218"/>
      <c r="S144" s="218"/>
      <c r="T144" s="218"/>
      <c r="U144" s="217"/>
      <c r="V144" s="218"/>
      <c r="W144" s="218"/>
      <c r="X144" s="218"/>
      <c r="Y144" s="218"/>
      <c r="Z144" s="236"/>
      <c r="AA144" s="218"/>
      <c r="AB144" s="218"/>
      <c r="AC144" s="218"/>
      <c r="AD144" s="218"/>
      <c r="AE144" s="218"/>
      <c r="AG144" s="218"/>
      <c r="AH144" s="218"/>
      <c r="AJ144" s="218"/>
      <c r="AL144" s="217"/>
      <c r="AM144" s="218"/>
      <c r="AN144" s="218"/>
      <c r="AP144" s="218"/>
      <c r="AQ144" s="218"/>
      <c r="AR144" s="218"/>
      <c r="AS144" s="218"/>
      <c r="AV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J144" s="39"/>
      <c r="BK144" s="39"/>
      <c r="BL144" s="39"/>
      <c r="BM144" s="39"/>
      <c r="BN144" s="216"/>
      <c r="BO144" s="209"/>
    </row>
    <row r="145" spans="1:67" ht="11.25" customHeight="1" outlineLevel="1">
      <c r="A145" s="229" t="s">
        <v>346</v>
      </c>
      <c r="B145" s="215"/>
      <c r="C145" s="215"/>
      <c r="D145" s="215"/>
      <c r="E145" s="215"/>
      <c r="F145" s="218"/>
      <c r="G145" s="218"/>
      <c r="H145" s="218"/>
      <c r="I145" s="218"/>
      <c r="J145" s="218"/>
      <c r="K145" s="218"/>
      <c r="L145" s="218"/>
      <c r="M145" s="217"/>
      <c r="N145" s="218"/>
      <c r="O145" s="218"/>
      <c r="P145" s="218"/>
      <c r="Q145" s="218"/>
      <c r="R145" s="218"/>
      <c r="S145" s="218"/>
      <c r="T145" s="218"/>
      <c r="U145" s="217"/>
      <c r="V145" s="218"/>
      <c r="W145" s="218"/>
      <c r="X145" s="218"/>
      <c r="Y145" s="218"/>
      <c r="Z145" s="236"/>
      <c r="AA145" s="218"/>
      <c r="AB145" s="218"/>
      <c r="AC145" s="218"/>
      <c r="AD145" s="218"/>
      <c r="AE145" s="218"/>
      <c r="AG145" s="218"/>
      <c r="AH145" s="218"/>
      <c r="AJ145" s="218"/>
      <c r="AL145" s="217"/>
      <c r="AM145" s="218"/>
      <c r="AN145" s="218"/>
      <c r="AP145" s="218"/>
      <c r="AQ145" s="218"/>
      <c r="AR145" s="218"/>
      <c r="AS145" s="218"/>
      <c r="AV145" s="218"/>
      <c r="AX145" s="218"/>
      <c r="AY145" s="218"/>
      <c r="AZ145" s="218"/>
      <c r="BA145" s="218"/>
      <c r="BB145" s="218"/>
      <c r="BC145" s="218"/>
      <c r="BD145" s="218"/>
      <c r="BE145" s="218"/>
      <c r="BF145" s="218"/>
      <c r="BJ145" s="39"/>
      <c r="BK145" s="39"/>
      <c r="BL145" s="39"/>
      <c r="BM145" s="39"/>
      <c r="BN145" s="216"/>
      <c r="BO145" s="209"/>
    </row>
    <row r="146" spans="1:67" ht="11.25" customHeight="1" outlineLevel="1">
      <c r="A146" s="206" t="s">
        <v>347</v>
      </c>
      <c r="B146" s="215">
        <v>26066785</v>
      </c>
      <c r="C146" s="215">
        <v>10208455</v>
      </c>
      <c r="D146" s="215">
        <v>0</v>
      </c>
      <c r="E146" s="215">
        <v>0</v>
      </c>
      <c r="F146" s="215">
        <v>13233581</v>
      </c>
      <c r="G146" s="215">
        <v>6979986</v>
      </c>
      <c r="H146" s="215">
        <v>8766423</v>
      </c>
      <c r="I146" s="215">
        <v>6917989</v>
      </c>
      <c r="J146" s="215">
        <v>0</v>
      </c>
      <c r="K146" s="215">
        <v>7643378</v>
      </c>
      <c r="L146" s="215">
        <v>2073398</v>
      </c>
      <c r="M146" s="39">
        <v>1743601</v>
      </c>
      <c r="N146" s="215">
        <v>1659769</v>
      </c>
      <c r="O146" s="215">
        <v>2295874</v>
      </c>
      <c r="P146" s="215">
        <v>4617592</v>
      </c>
      <c r="Q146" s="215">
        <v>1362070</v>
      </c>
      <c r="R146" s="215">
        <v>2344979</v>
      </c>
      <c r="S146" s="215">
        <v>0</v>
      </c>
      <c r="T146" s="215">
        <v>5601748</v>
      </c>
      <c r="U146" s="215">
        <v>1615239</v>
      </c>
      <c r="V146" s="215">
        <v>2155241</v>
      </c>
      <c r="W146" s="215">
        <v>16004</v>
      </c>
      <c r="X146" s="215">
        <v>617944</v>
      </c>
      <c r="Y146" s="215">
        <v>6405792</v>
      </c>
      <c r="Z146" s="299">
        <v>3753830</v>
      </c>
      <c r="AA146" s="215">
        <v>1936282</v>
      </c>
      <c r="AB146" s="215">
        <v>6151781.966</v>
      </c>
      <c r="AC146" s="215">
        <v>642812</v>
      </c>
      <c r="AD146" s="215">
        <v>960507</v>
      </c>
      <c r="AE146" s="215">
        <v>4413449</v>
      </c>
      <c r="AF146" s="216">
        <v>494264.747</v>
      </c>
      <c r="AG146" s="215">
        <v>2755543</v>
      </c>
      <c r="AH146" s="215">
        <v>207406</v>
      </c>
      <c r="AI146" s="216">
        <v>995738</v>
      </c>
      <c r="AJ146" s="215">
        <v>1155394</v>
      </c>
      <c r="AK146" s="216">
        <v>228232.448</v>
      </c>
      <c r="AL146" s="215">
        <v>307733</v>
      </c>
      <c r="AM146" s="215">
        <v>378910</v>
      </c>
      <c r="AN146" s="215">
        <v>44536</v>
      </c>
      <c r="AO146" s="216">
        <v>54310</v>
      </c>
      <c r="AP146" s="215">
        <v>869955</v>
      </c>
      <c r="AQ146" s="215">
        <v>1832272</v>
      </c>
      <c r="AR146" s="215">
        <v>379411</v>
      </c>
      <c r="AS146" s="215">
        <v>68654</v>
      </c>
      <c r="AT146" s="216">
        <f>851+18000</f>
        <v>18851</v>
      </c>
      <c r="AU146" s="216">
        <v>166796.467</v>
      </c>
      <c r="AV146" s="215">
        <v>483252</v>
      </c>
      <c r="AW146" s="216">
        <v>319982</v>
      </c>
      <c r="AX146" s="215">
        <v>414563</v>
      </c>
      <c r="AY146" s="215">
        <v>258518</v>
      </c>
      <c r="AZ146" s="215">
        <v>569</v>
      </c>
      <c r="BA146" s="215">
        <v>296283</v>
      </c>
      <c r="BB146" s="215">
        <v>269309</v>
      </c>
      <c r="BC146" s="215">
        <v>0</v>
      </c>
      <c r="BD146" s="215">
        <v>134327</v>
      </c>
      <c r="BE146" s="215">
        <v>44719</v>
      </c>
      <c r="BF146" s="215">
        <v>0</v>
      </c>
      <c r="BG146" s="215">
        <v>0</v>
      </c>
      <c r="BH146" s="215">
        <v>0</v>
      </c>
      <c r="BJ146" s="39">
        <f t="shared" si="26"/>
        <v>142364038.62800002</v>
      </c>
      <c r="BK146" s="39"/>
      <c r="BL146" s="39">
        <f t="shared" si="28"/>
        <v>32423832</v>
      </c>
      <c r="BM146" s="39">
        <f t="shared" si="29"/>
        <v>109940206.62799999</v>
      </c>
      <c r="BN146" s="216"/>
      <c r="BO146" s="209"/>
    </row>
    <row r="147" spans="1:67" ht="11.25" customHeight="1" outlineLevel="1">
      <c r="A147" s="206" t="s">
        <v>348</v>
      </c>
      <c r="B147" s="215">
        <v>15450895</v>
      </c>
      <c r="C147" s="215">
        <v>6099292</v>
      </c>
      <c r="D147" s="215">
        <v>0</v>
      </c>
      <c r="E147" s="215">
        <v>0</v>
      </c>
      <c r="F147" s="215">
        <v>10010195</v>
      </c>
      <c r="G147" s="215">
        <v>6212672</v>
      </c>
      <c r="H147" s="215">
        <v>4928029</v>
      </c>
      <c r="I147" s="215">
        <v>3995286</v>
      </c>
      <c r="J147" s="215">
        <v>0</v>
      </c>
      <c r="K147" s="215">
        <f>1459231-K148+K128</f>
        <v>4075917</v>
      </c>
      <c r="L147" s="215">
        <v>2193946</v>
      </c>
      <c r="M147" s="39">
        <v>165254</v>
      </c>
      <c r="N147" s="215">
        <v>2125967</v>
      </c>
      <c r="O147" s="215">
        <v>2570964</v>
      </c>
      <c r="P147" s="215">
        <v>1431929</v>
      </c>
      <c r="Q147" s="215">
        <v>384514</v>
      </c>
      <c r="R147" s="215">
        <v>3008315</v>
      </c>
      <c r="S147" s="215">
        <v>0</v>
      </c>
      <c r="T147" s="215">
        <v>1411350</v>
      </c>
      <c r="U147" s="215">
        <v>471305</v>
      </c>
      <c r="V147" s="215">
        <v>1481582</v>
      </c>
      <c r="W147" s="215">
        <v>25000</v>
      </c>
      <c r="X147" s="215">
        <v>948104</v>
      </c>
      <c r="Y147" s="215">
        <v>106104</v>
      </c>
      <c r="Z147" s="299">
        <v>1900484</v>
      </c>
      <c r="AA147" s="215">
        <v>1006499</v>
      </c>
      <c r="AB147" s="215">
        <v>431231.783</v>
      </c>
      <c r="AC147" s="215">
        <v>62356</v>
      </c>
      <c r="AD147" s="215">
        <v>1367801</v>
      </c>
      <c r="AE147" s="215">
        <v>344703</v>
      </c>
      <c r="AF147" s="216">
        <v>0</v>
      </c>
      <c r="AG147" s="215">
        <v>1296652</v>
      </c>
      <c r="AH147" s="215">
        <v>97597</v>
      </c>
      <c r="AI147" s="216">
        <v>0</v>
      </c>
      <c r="AJ147" s="215">
        <v>1111514</v>
      </c>
      <c r="AK147" s="216">
        <v>0</v>
      </c>
      <c r="AL147" s="215">
        <v>211301</v>
      </c>
      <c r="AM147" s="215">
        <v>80441</v>
      </c>
      <c r="AN147" s="215">
        <v>0</v>
      </c>
      <c r="AO147" s="216">
        <v>47003</v>
      </c>
      <c r="AP147" s="215">
        <v>0</v>
      </c>
      <c r="AQ147" s="215">
        <v>109795</v>
      </c>
      <c r="AR147" s="215">
        <v>0</v>
      </c>
      <c r="AS147" s="215">
        <v>0</v>
      </c>
      <c r="AT147" s="216">
        <f>75881+15000+10155</f>
        <v>101036</v>
      </c>
      <c r="AU147" s="216">
        <v>353334.3</v>
      </c>
      <c r="AV147" s="215"/>
      <c r="AW147" s="216">
        <v>30509</v>
      </c>
      <c r="AX147" s="215">
        <v>0</v>
      </c>
      <c r="AY147" s="215">
        <v>0</v>
      </c>
      <c r="AZ147" s="215">
        <v>62770</v>
      </c>
      <c r="BA147" s="215">
        <v>0</v>
      </c>
      <c r="BB147" s="215">
        <v>0</v>
      </c>
      <c r="BC147" s="215">
        <v>0</v>
      </c>
      <c r="BD147" s="215">
        <v>28381</v>
      </c>
      <c r="BE147" s="215">
        <v>2180</v>
      </c>
      <c r="BF147" s="215">
        <v>0</v>
      </c>
      <c r="BG147" s="215">
        <v>0</v>
      </c>
      <c r="BH147" s="215">
        <v>0</v>
      </c>
      <c r="BJ147" s="39">
        <f t="shared" si="26"/>
        <v>75742208.083</v>
      </c>
      <c r="BK147" s="39"/>
      <c r="BL147" s="39">
        <f t="shared" si="28"/>
        <v>17787142</v>
      </c>
      <c r="BM147" s="39">
        <f t="shared" si="29"/>
        <v>57955066.083</v>
      </c>
      <c r="BN147" s="216"/>
      <c r="BO147" s="209"/>
    </row>
    <row r="148" spans="1:67" ht="11.25" customHeight="1" outlineLevel="1">
      <c r="A148" s="206" t="s">
        <v>349</v>
      </c>
      <c r="B148" s="215">
        <v>2457887</v>
      </c>
      <c r="C148" s="215">
        <v>1319679</v>
      </c>
      <c r="D148" s="215">
        <v>16830</v>
      </c>
      <c r="E148" s="215">
        <v>0</v>
      </c>
      <c r="F148" s="215">
        <v>3964232</v>
      </c>
      <c r="G148" s="215">
        <v>684182</v>
      </c>
      <c r="H148" s="215">
        <v>619632</v>
      </c>
      <c r="I148" s="215">
        <v>2797149</v>
      </c>
      <c r="J148" s="215">
        <v>0</v>
      </c>
      <c r="K148" s="215">
        <v>30000</v>
      </c>
      <c r="L148" s="215">
        <v>252482</v>
      </c>
      <c r="M148" s="39">
        <v>0</v>
      </c>
      <c r="N148" s="215">
        <v>0</v>
      </c>
      <c r="O148" s="215">
        <v>1312353</v>
      </c>
      <c r="P148" s="215">
        <v>154546</v>
      </c>
      <c r="Q148" s="215">
        <v>227094</v>
      </c>
      <c r="R148" s="215">
        <v>303747</v>
      </c>
      <c r="S148" s="215">
        <v>0</v>
      </c>
      <c r="T148" s="215">
        <v>118550</v>
      </c>
      <c r="U148" s="215">
        <v>314976</v>
      </c>
      <c r="V148" s="215">
        <v>208507</v>
      </c>
      <c r="W148" s="215">
        <v>0</v>
      </c>
      <c r="X148" s="215">
        <v>377693</v>
      </c>
      <c r="Y148" s="215">
        <v>295395</v>
      </c>
      <c r="Z148" s="299">
        <v>237256</v>
      </c>
      <c r="AA148" s="215">
        <v>0</v>
      </c>
      <c r="AB148" s="215">
        <v>95771.8</v>
      </c>
      <c r="AC148" s="215">
        <v>201488</v>
      </c>
      <c r="AD148" s="215">
        <v>0</v>
      </c>
      <c r="AE148" s="215">
        <v>193220</v>
      </c>
      <c r="AF148" s="216">
        <v>0</v>
      </c>
      <c r="AG148" s="215">
        <v>404083</v>
      </c>
      <c r="AH148" s="215">
        <v>30415</v>
      </c>
      <c r="AI148" s="216">
        <v>30950</v>
      </c>
      <c r="AJ148" s="215">
        <v>73348</v>
      </c>
      <c r="AK148" s="216">
        <v>0</v>
      </c>
      <c r="AL148" s="215">
        <v>0</v>
      </c>
      <c r="AM148" s="215">
        <v>3494</v>
      </c>
      <c r="AN148" s="215">
        <v>0</v>
      </c>
      <c r="AO148" s="215">
        <v>0</v>
      </c>
      <c r="AP148" s="215">
        <v>5200</v>
      </c>
      <c r="AQ148" s="215">
        <v>0</v>
      </c>
      <c r="AR148" s="215">
        <v>11452</v>
      </c>
      <c r="AS148" s="215">
        <v>0</v>
      </c>
      <c r="AT148" s="216">
        <v>29316</v>
      </c>
      <c r="AU148" s="216">
        <v>0</v>
      </c>
      <c r="AV148" s="215">
        <v>3000</v>
      </c>
      <c r="AW148" s="216">
        <v>10800</v>
      </c>
      <c r="AX148" s="215">
        <v>0</v>
      </c>
      <c r="AY148" s="215">
        <v>0</v>
      </c>
      <c r="AZ148" s="215">
        <v>0</v>
      </c>
      <c r="BA148" s="215">
        <v>10300</v>
      </c>
      <c r="BB148" s="215">
        <v>0</v>
      </c>
      <c r="BC148" s="215">
        <v>1500</v>
      </c>
      <c r="BD148" s="215">
        <v>2000</v>
      </c>
      <c r="BE148" s="215">
        <v>0</v>
      </c>
      <c r="BF148" s="215">
        <v>0</v>
      </c>
      <c r="BG148" s="215">
        <v>0</v>
      </c>
      <c r="BH148" s="215">
        <v>0</v>
      </c>
      <c r="BJ148" s="39">
        <f t="shared" si="26"/>
        <v>16798527.8</v>
      </c>
      <c r="BK148" s="39"/>
      <c r="BL148" s="39">
        <f t="shared" si="28"/>
        <v>2977329</v>
      </c>
      <c r="BM148" s="39">
        <f t="shared" si="29"/>
        <v>13821198.8</v>
      </c>
      <c r="BN148" s="216"/>
      <c r="BO148" s="209"/>
    </row>
    <row r="149" spans="1:67" ht="11.25" customHeight="1" outlineLevel="1">
      <c r="A149" s="206" t="s">
        <v>350</v>
      </c>
      <c r="B149" s="218">
        <v>0</v>
      </c>
      <c r="C149" s="218">
        <v>0</v>
      </c>
      <c r="D149" s="218">
        <v>0</v>
      </c>
      <c r="E149" s="215">
        <v>0</v>
      </c>
      <c r="F149" s="215">
        <v>0</v>
      </c>
      <c r="G149" s="215">
        <v>0</v>
      </c>
      <c r="H149" s="215">
        <v>0</v>
      </c>
      <c r="I149" s="215">
        <v>0</v>
      </c>
      <c r="J149" s="215">
        <v>0</v>
      </c>
      <c r="K149" s="215">
        <v>118850</v>
      </c>
      <c r="L149" s="215">
        <v>0</v>
      </c>
      <c r="M149" s="217">
        <v>0</v>
      </c>
      <c r="N149" s="215">
        <v>0</v>
      </c>
      <c r="O149" s="215">
        <v>0</v>
      </c>
      <c r="P149" s="215">
        <v>0</v>
      </c>
      <c r="Q149" s="215">
        <v>0</v>
      </c>
      <c r="R149" s="215">
        <v>4258</v>
      </c>
      <c r="S149" s="215">
        <v>0</v>
      </c>
      <c r="T149" s="215"/>
      <c r="U149" s="215">
        <v>0</v>
      </c>
      <c r="V149" s="215">
        <v>0</v>
      </c>
      <c r="W149" s="215">
        <v>0</v>
      </c>
      <c r="X149" s="215">
        <v>275458</v>
      </c>
      <c r="Y149" s="215">
        <v>0</v>
      </c>
      <c r="Z149" s="215">
        <v>0</v>
      </c>
      <c r="AA149" s="215">
        <v>0</v>
      </c>
      <c r="AB149" s="215">
        <v>122728.426</v>
      </c>
      <c r="AC149" s="215">
        <v>0</v>
      </c>
      <c r="AD149" s="215">
        <v>249213</v>
      </c>
      <c r="AE149" s="215">
        <v>0</v>
      </c>
      <c r="AF149" s="216">
        <v>0</v>
      </c>
      <c r="AG149" s="215">
        <v>19671</v>
      </c>
      <c r="AH149" s="215">
        <v>1481</v>
      </c>
      <c r="AI149" s="216">
        <v>0</v>
      </c>
      <c r="AJ149" s="215">
        <v>0</v>
      </c>
      <c r="AK149" s="216">
        <v>0</v>
      </c>
      <c r="AL149" s="215">
        <v>0</v>
      </c>
      <c r="AM149" s="215">
        <v>0</v>
      </c>
      <c r="AN149" s="215">
        <v>0</v>
      </c>
      <c r="AO149" s="215">
        <v>0</v>
      </c>
      <c r="AP149" s="215">
        <v>91600</v>
      </c>
      <c r="AQ149" s="215">
        <v>0</v>
      </c>
      <c r="AR149" s="215">
        <v>0</v>
      </c>
      <c r="AS149" s="215">
        <v>0</v>
      </c>
      <c r="AT149" s="216">
        <v>0</v>
      </c>
      <c r="AU149" s="216">
        <v>0</v>
      </c>
      <c r="AV149" s="216">
        <v>0</v>
      </c>
      <c r="AW149" s="216">
        <v>0</v>
      </c>
      <c r="AX149" s="215">
        <v>0</v>
      </c>
      <c r="AY149" s="215">
        <v>0</v>
      </c>
      <c r="AZ149" s="215">
        <v>0</v>
      </c>
      <c r="BA149" s="215">
        <v>0</v>
      </c>
      <c r="BB149" s="215">
        <v>0</v>
      </c>
      <c r="BC149" s="215">
        <v>0</v>
      </c>
      <c r="BD149" s="215">
        <v>2781</v>
      </c>
      <c r="BE149" s="215">
        <v>0</v>
      </c>
      <c r="BF149" s="215">
        <v>0</v>
      </c>
      <c r="BG149" s="215">
        <v>0</v>
      </c>
      <c r="BH149" s="215">
        <v>0</v>
      </c>
      <c r="BJ149" s="39">
        <f t="shared" si="26"/>
        <v>886040.426</v>
      </c>
      <c r="BK149" s="39"/>
      <c r="BL149" s="39">
        <f t="shared" si="28"/>
        <v>2781</v>
      </c>
      <c r="BM149" s="39">
        <f t="shared" si="29"/>
        <v>883259.426</v>
      </c>
      <c r="BN149" s="216"/>
      <c r="BO149" s="209"/>
    </row>
    <row r="150" spans="1:67" ht="11.25" customHeight="1" outlineLevel="1">
      <c r="A150" s="206" t="s">
        <v>351</v>
      </c>
      <c r="B150" s="218">
        <v>0</v>
      </c>
      <c r="C150" s="218">
        <v>0</v>
      </c>
      <c r="D150" s="218">
        <v>0</v>
      </c>
      <c r="E150" s="215">
        <v>0</v>
      </c>
      <c r="F150" s="215">
        <v>97232</v>
      </c>
      <c r="G150" s="215">
        <v>6409</v>
      </c>
      <c r="H150" s="215">
        <v>4111</v>
      </c>
      <c r="I150" s="215">
        <v>0</v>
      </c>
      <c r="J150" s="215">
        <v>0</v>
      </c>
      <c r="K150" s="215">
        <v>0</v>
      </c>
      <c r="L150" s="215">
        <v>3575</v>
      </c>
      <c r="M150" s="217">
        <v>0</v>
      </c>
      <c r="N150" s="215">
        <v>0</v>
      </c>
      <c r="O150" s="215">
        <v>0</v>
      </c>
      <c r="P150" s="215">
        <v>0</v>
      </c>
      <c r="Q150" s="215">
        <v>0</v>
      </c>
      <c r="R150" s="215">
        <v>26001</v>
      </c>
      <c r="S150" s="215">
        <v>0</v>
      </c>
      <c r="T150" s="215"/>
      <c r="U150" s="215">
        <v>0</v>
      </c>
      <c r="V150" s="215">
        <v>0</v>
      </c>
      <c r="W150" s="215">
        <v>0</v>
      </c>
      <c r="X150" s="215">
        <v>0</v>
      </c>
      <c r="Y150" s="215">
        <v>2582</v>
      </c>
      <c r="Z150" s="299">
        <v>363</v>
      </c>
      <c r="AA150" s="215">
        <v>477</v>
      </c>
      <c r="AB150" s="215">
        <v>0</v>
      </c>
      <c r="AC150" s="215">
        <v>0</v>
      </c>
      <c r="AD150" s="215">
        <v>1200</v>
      </c>
      <c r="AE150" s="215">
        <v>0</v>
      </c>
      <c r="AF150" s="216">
        <v>-11377.797</v>
      </c>
      <c r="AG150" s="215">
        <v>346</v>
      </c>
      <c r="AH150" s="215">
        <v>27</v>
      </c>
      <c r="AI150" s="216">
        <v>0</v>
      </c>
      <c r="AJ150" s="215">
        <v>151</v>
      </c>
      <c r="AK150" s="216">
        <v>0</v>
      </c>
      <c r="AL150" s="215">
        <v>0</v>
      </c>
      <c r="AM150" s="215">
        <v>0</v>
      </c>
      <c r="AN150" s="215">
        <v>0</v>
      </c>
      <c r="AO150" s="215">
        <v>0</v>
      </c>
      <c r="AP150" s="215">
        <v>0</v>
      </c>
      <c r="AQ150" s="215">
        <v>0</v>
      </c>
      <c r="AR150" s="215">
        <v>0</v>
      </c>
      <c r="AS150" s="215">
        <v>0</v>
      </c>
      <c r="AT150" s="216">
        <v>0</v>
      </c>
      <c r="AU150" s="216">
        <v>0</v>
      </c>
      <c r="AV150" s="216">
        <v>0</v>
      </c>
      <c r="AW150" s="216">
        <v>0</v>
      </c>
      <c r="AX150" s="215">
        <v>0</v>
      </c>
      <c r="AY150" s="215">
        <v>0</v>
      </c>
      <c r="AZ150" s="215">
        <v>0</v>
      </c>
      <c r="BA150" s="215">
        <v>0</v>
      </c>
      <c r="BB150" s="215">
        <v>0</v>
      </c>
      <c r="BC150" s="215">
        <v>0</v>
      </c>
      <c r="BD150" s="215">
        <v>0</v>
      </c>
      <c r="BE150" s="215">
        <v>0</v>
      </c>
      <c r="BF150" s="215">
        <v>0</v>
      </c>
      <c r="BG150" s="215">
        <v>0</v>
      </c>
      <c r="BH150" s="215">
        <v>0</v>
      </c>
      <c r="BJ150" s="39">
        <f t="shared" si="26"/>
        <v>131096.20299999998</v>
      </c>
      <c r="BK150" s="39"/>
      <c r="BL150" s="39">
        <f t="shared" si="28"/>
        <v>363</v>
      </c>
      <c r="BM150" s="39">
        <f t="shared" si="29"/>
        <v>130733.203</v>
      </c>
      <c r="BN150" s="216"/>
      <c r="BO150" s="209"/>
    </row>
    <row r="151" spans="1:67" ht="11.25" customHeight="1" outlineLevel="1">
      <c r="A151" s="206" t="s">
        <v>352</v>
      </c>
      <c r="B151" s="215">
        <v>1634</v>
      </c>
      <c r="C151" s="215">
        <v>1634</v>
      </c>
      <c r="D151" s="218">
        <v>0</v>
      </c>
      <c r="E151" s="215">
        <v>0</v>
      </c>
      <c r="F151" s="215">
        <v>0</v>
      </c>
      <c r="G151" s="215">
        <v>607</v>
      </c>
      <c r="H151" s="215">
        <v>0</v>
      </c>
      <c r="I151" s="215">
        <v>0</v>
      </c>
      <c r="J151" s="215">
        <v>0</v>
      </c>
      <c r="K151" s="215">
        <v>0</v>
      </c>
      <c r="L151" s="215">
        <v>0</v>
      </c>
      <c r="M151" s="217">
        <v>0</v>
      </c>
      <c r="N151" s="215">
        <v>0</v>
      </c>
      <c r="O151" s="215">
        <v>1846</v>
      </c>
      <c r="P151" s="215">
        <v>0</v>
      </c>
      <c r="Q151" s="215">
        <v>0</v>
      </c>
      <c r="R151" s="215">
        <v>0</v>
      </c>
      <c r="S151" s="215">
        <v>0</v>
      </c>
      <c r="T151" s="215">
        <v>10559</v>
      </c>
      <c r="U151" s="215">
        <v>0</v>
      </c>
      <c r="V151" s="215">
        <v>16901</v>
      </c>
      <c r="W151" s="215">
        <v>0</v>
      </c>
      <c r="X151" s="215">
        <v>0</v>
      </c>
      <c r="Y151" s="215">
        <v>0</v>
      </c>
      <c r="Z151" s="215">
        <v>0</v>
      </c>
      <c r="AA151" s="215">
        <v>0</v>
      </c>
      <c r="AB151" s="215">
        <v>0</v>
      </c>
      <c r="AC151" s="215">
        <v>0</v>
      </c>
      <c r="AD151" s="215">
        <v>0</v>
      </c>
      <c r="AE151" s="215">
        <v>0</v>
      </c>
      <c r="AF151" s="216">
        <v>0</v>
      </c>
      <c r="AG151" s="215">
        <v>0</v>
      </c>
      <c r="AH151" s="215">
        <v>0</v>
      </c>
      <c r="AI151" s="216">
        <v>0</v>
      </c>
      <c r="AJ151" s="215">
        <v>0</v>
      </c>
      <c r="AK151" s="216">
        <v>0</v>
      </c>
      <c r="AL151" s="215">
        <v>0</v>
      </c>
      <c r="AM151" s="215">
        <v>0</v>
      </c>
      <c r="AN151" s="215">
        <v>0</v>
      </c>
      <c r="AO151" s="215">
        <v>0</v>
      </c>
      <c r="AP151" s="215">
        <v>0</v>
      </c>
      <c r="AQ151" s="215">
        <v>0</v>
      </c>
      <c r="AR151" s="215">
        <v>0</v>
      </c>
      <c r="AS151" s="215">
        <v>0</v>
      </c>
      <c r="AT151" s="216">
        <v>0</v>
      </c>
      <c r="AU151" s="216">
        <v>0</v>
      </c>
      <c r="AV151" s="216">
        <v>0</v>
      </c>
      <c r="AW151" s="216">
        <v>0</v>
      </c>
      <c r="AX151" s="215">
        <v>0</v>
      </c>
      <c r="AY151" s="215">
        <v>0</v>
      </c>
      <c r="AZ151" s="215">
        <v>0</v>
      </c>
      <c r="BA151" s="215">
        <v>0</v>
      </c>
      <c r="BB151" s="215">
        <v>0</v>
      </c>
      <c r="BC151" s="215">
        <v>0</v>
      </c>
      <c r="BD151" s="215">
        <v>0</v>
      </c>
      <c r="BE151" s="215">
        <v>0</v>
      </c>
      <c r="BF151" s="215">
        <v>0</v>
      </c>
      <c r="BG151" s="215">
        <v>0</v>
      </c>
      <c r="BH151" s="215">
        <v>0</v>
      </c>
      <c r="BJ151" s="39">
        <f t="shared" si="26"/>
        <v>33181</v>
      </c>
      <c r="BK151" s="39"/>
      <c r="BL151" s="39">
        <f t="shared" si="28"/>
        <v>1634</v>
      </c>
      <c r="BM151" s="39">
        <f t="shared" si="29"/>
        <v>31547</v>
      </c>
      <c r="BN151" s="216"/>
      <c r="BO151" s="209"/>
    </row>
    <row r="152" spans="1:67" ht="11.25" customHeight="1" outlineLevel="1">
      <c r="A152" s="206" t="s">
        <v>353</v>
      </c>
      <c r="B152" s="218">
        <v>0</v>
      </c>
      <c r="C152" s="218">
        <v>0</v>
      </c>
      <c r="D152" s="218">
        <v>0</v>
      </c>
      <c r="E152" s="215">
        <v>0</v>
      </c>
      <c r="F152" s="215">
        <v>0</v>
      </c>
      <c r="G152" s="215">
        <v>0</v>
      </c>
      <c r="H152" s="215">
        <v>0</v>
      </c>
      <c r="I152" s="215">
        <v>0</v>
      </c>
      <c r="J152" s="215">
        <v>0</v>
      </c>
      <c r="K152" s="215">
        <v>0</v>
      </c>
      <c r="L152" s="215">
        <v>0</v>
      </c>
      <c r="M152" s="217">
        <v>0</v>
      </c>
      <c r="N152" s="215">
        <v>0</v>
      </c>
      <c r="O152" s="215">
        <v>0</v>
      </c>
      <c r="P152" s="215">
        <v>0</v>
      </c>
      <c r="Q152" s="215">
        <v>0</v>
      </c>
      <c r="R152" s="215">
        <v>0</v>
      </c>
      <c r="S152" s="215">
        <v>0</v>
      </c>
      <c r="T152" s="215"/>
      <c r="U152" s="215">
        <v>0</v>
      </c>
      <c r="V152" s="215">
        <v>0</v>
      </c>
      <c r="W152" s="215">
        <v>0</v>
      </c>
      <c r="X152" s="215">
        <v>0</v>
      </c>
      <c r="Y152" s="215">
        <v>0</v>
      </c>
      <c r="Z152" s="215">
        <v>0</v>
      </c>
      <c r="AA152" s="215">
        <v>0</v>
      </c>
      <c r="AB152" s="215">
        <v>0</v>
      </c>
      <c r="AC152" s="215">
        <v>0</v>
      </c>
      <c r="AD152" s="215">
        <v>0</v>
      </c>
      <c r="AE152" s="215">
        <v>0</v>
      </c>
      <c r="AF152" s="216">
        <v>0</v>
      </c>
      <c r="AG152" s="215">
        <v>0</v>
      </c>
      <c r="AH152" s="215">
        <v>0</v>
      </c>
      <c r="AI152" s="216">
        <v>0</v>
      </c>
      <c r="AJ152" s="215">
        <v>0</v>
      </c>
      <c r="AK152" s="216">
        <v>0</v>
      </c>
      <c r="AL152" s="215">
        <v>0</v>
      </c>
      <c r="AM152" s="215">
        <v>0</v>
      </c>
      <c r="AN152" s="215">
        <v>0</v>
      </c>
      <c r="AO152" s="215">
        <v>0</v>
      </c>
      <c r="AP152" s="215">
        <v>0</v>
      </c>
      <c r="AQ152" s="215">
        <v>0</v>
      </c>
      <c r="AR152" s="215">
        <v>0</v>
      </c>
      <c r="AS152" s="215">
        <v>0</v>
      </c>
      <c r="AT152" s="216">
        <v>0</v>
      </c>
      <c r="AU152" s="216">
        <v>0</v>
      </c>
      <c r="AV152" s="216">
        <v>0</v>
      </c>
      <c r="AW152" s="216">
        <v>0</v>
      </c>
      <c r="AX152" s="215">
        <v>0</v>
      </c>
      <c r="AY152" s="215">
        <v>0</v>
      </c>
      <c r="AZ152" s="215">
        <v>0</v>
      </c>
      <c r="BA152" s="215">
        <v>0</v>
      </c>
      <c r="BB152" s="215">
        <v>0</v>
      </c>
      <c r="BC152" s="215">
        <v>0</v>
      </c>
      <c r="BD152" s="215">
        <v>0</v>
      </c>
      <c r="BE152" s="215">
        <v>0</v>
      </c>
      <c r="BF152" s="215">
        <v>0</v>
      </c>
      <c r="BG152" s="215">
        <v>0</v>
      </c>
      <c r="BH152" s="215">
        <v>0</v>
      </c>
      <c r="BJ152" s="39">
        <f t="shared" si="26"/>
        <v>0</v>
      </c>
      <c r="BK152" s="39"/>
      <c r="BL152" s="39">
        <f t="shared" si="28"/>
        <v>0</v>
      </c>
      <c r="BM152" s="39">
        <f t="shared" si="29"/>
        <v>0</v>
      </c>
      <c r="BN152" s="216"/>
      <c r="BO152" s="209"/>
    </row>
    <row r="153" spans="1:67" ht="11.25" customHeight="1">
      <c r="A153" s="229" t="s">
        <v>354</v>
      </c>
      <c r="B153" s="215">
        <f>SUM(B146:B152)</f>
        <v>43977201</v>
      </c>
      <c r="C153" s="215">
        <f aca="true" t="shared" si="32" ref="C153:BH153">SUM(C146:C152)</f>
        <v>17629060</v>
      </c>
      <c r="D153" s="215">
        <f t="shared" si="32"/>
        <v>16830</v>
      </c>
      <c r="E153" s="215">
        <f t="shared" si="32"/>
        <v>0</v>
      </c>
      <c r="F153" s="215">
        <f t="shared" si="32"/>
        <v>27305240</v>
      </c>
      <c r="G153" s="215">
        <f t="shared" si="32"/>
        <v>13883856</v>
      </c>
      <c r="H153" s="215">
        <f t="shared" si="32"/>
        <v>14318195</v>
      </c>
      <c r="I153" s="215">
        <f t="shared" si="32"/>
        <v>13710424</v>
      </c>
      <c r="J153" s="215">
        <f t="shared" si="32"/>
        <v>0</v>
      </c>
      <c r="K153" s="215">
        <f t="shared" si="32"/>
        <v>11868145</v>
      </c>
      <c r="L153" s="215">
        <f t="shared" si="32"/>
        <v>4523401</v>
      </c>
      <c r="M153" s="215">
        <f t="shared" si="32"/>
        <v>1908855</v>
      </c>
      <c r="N153" s="215">
        <f t="shared" si="32"/>
        <v>3785736</v>
      </c>
      <c r="O153" s="215">
        <f t="shared" si="32"/>
        <v>6181037</v>
      </c>
      <c r="P153" s="215">
        <f t="shared" si="32"/>
        <v>6204067</v>
      </c>
      <c r="Q153" s="215">
        <f t="shared" si="32"/>
        <v>1973678</v>
      </c>
      <c r="R153" s="215">
        <f t="shared" si="32"/>
        <v>5687300</v>
      </c>
      <c r="S153" s="215">
        <f t="shared" si="32"/>
        <v>0</v>
      </c>
      <c r="T153" s="215">
        <f t="shared" si="32"/>
        <v>7142207</v>
      </c>
      <c r="U153" s="215">
        <f t="shared" si="32"/>
        <v>2401520</v>
      </c>
      <c r="V153" s="215">
        <f t="shared" si="32"/>
        <v>3862231</v>
      </c>
      <c r="W153" s="215">
        <f t="shared" si="32"/>
        <v>41004</v>
      </c>
      <c r="X153" s="215">
        <f t="shared" si="32"/>
        <v>2219199</v>
      </c>
      <c r="Y153" s="215">
        <f t="shared" si="32"/>
        <v>6809873</v>
      </c>
      <c r="Z153" s="215">
        <f t="shared" si="32"/>
        <v>5891933</v>
      </c>
      <c r="AA153" s="215">
        <f t="shared" si="32"/>
        <v>2943258</v>
      </c>
      <c r="AB153" s="215">
        <f t="shared" si="32"/>
        <v>6801513.975</v>
      </c>
      <c r="AC153" s="215">
        <f t="shared" si="32"/>
        <v>906656</v>
      </c>
      <c r="AD153" s="215">
        <f t="shared" si="32"/>
        <v>2578721</v>
      </c>
      <c r="AE153" s="215">
        <f t="shared" si="32"/>
        <v>4951372</v>
      </c>
      <c r="AF153" s="215">
        <f t="shared" si="32"/>
        <v>482886.94999999995</v>
      </c>
      <c r="AG153" s="215">
        <f t="shared" si="32"/>
        <v>4476295</v>
      </c>
      <c r="AH153" s="215">
        <f t="shared" si="32"/>
        <v>336926</v>
      </c>
      <c r="AI153" s="215">
        <f t="shared" si="32"/>
        <v>1026688</v>
      </c>
      <c r="AJ153" s="215">
        <f t="shared" si="32"/>
        <v>2340407</v>
      </c>
      <c r="AK153" s="215">
        <f t="shared" si="32"/>
        <v>228232.448</v>
      </c>
      <c r="AL153" s="215">
        <f t="shared" si="32"/>
        <v>519034</v>
      </c>
      <c r="AM153" s="215">
        <f t="shared" si="32"/>
        <v>462845</v>
      </c>
      <c r="AN153" s="215">
        <f t="shared" si="32"/>
        <v>44536</v>
      </c>
      <c r="AO153" s="215">
        <f t="shared" si="32"/>
        <v>101313</v>
      </c>
      <c r="AP153" s="215">
        <f t="shared" si="32"/>
        <v>966755</v>
      </c>
      <c r="AQ153" s="215">
        <f t="shared" si="32"/>
        <v>1942067</v>
      </c>
      <c r="AR153" s="215">
        <f t="shared" si="32"/>
        <v>390863</v>
      </c>
      <c r="AS153" s="215">
        <f t="shared" si="32"/>
        <v>68654</v>
      </c>
      <c r="AT153" s="215">
        <f t="shared" si="32"/>
        <v>149203</v>
      </c>
      <c r="AU153" s="215">
        <f t="shared" si="32"/>
        <v>520130.767</v>
      </c>
      <c r="AV153" s="215">
        <f t="shared" si="32"/>
        <v>486252</v>
      </c>
      <c r="AW153" s="215">
        <f t="shared" si="32"/>
        <v>361291</v>
      </c>
      <c r="AX153" s="215">
        <f t="shared" si="32"/>
        <v>414563</v>
      </c>
      <c r="AY153" s="215">
        <f t="shared" si="32"/>
        <v>258518</v>
      </c>
      <c r="AZ153" s="215">
        <f t="shared" si="32"/>
        <v>63339</v>
      </c>
      <c r="BA153" s="215">
        <f t="shared" si="32"/>
        <v>306583</v>
      </c>
      <c r="BB153" s="215">
        <f t="shared" si="32"/>
        <v>269309</v>
      </c>
      <c r="BC153" s="215">
        <f t="shared" si="32"/>
        <v>1500</v>
      </c>
      <c r="BD153" s="215">
        <f t="shared" si="32"/>
        <v>167489</v>
      </c>
      <c r="BE153" s="215">
        <f t="shared" si="32"/>
        <v>46899</v>
      </c>
      <c r="BF153" s="215">
        <f t="shared" si="32"/>
        <v>0</v>
      </c>
      <c r="BG153" s="215">
        <f t="shared" si="32"/>
        <v>0</v>
      </c>
      <c r="BH153" s="215">
        <f t="shared" si="32"/>
        <v>0</v>
      </c>
      <c r="BJ153" s="39">
        <f t="shared" si="26"/>
        <v>235955092.14</v>
      </c>
      <c r="BK153" s="39"/>
      <c r="BL153" s="39">
        <f t="shared" si="28"/>
        <v>53193081</v>
      </c>
      <c r="BM153" s="39">
        <f t="shared" si="29"/>
        <v>182762011.14</v>
      </c>
      <c r="BN153" s="216"/>
      <c r="BO153" s="209"/>
    </row>
    <row r="154" spans="1:67" ht="11.25" customHeight="1">
      <c r="A154" s="206"/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J154" s="39"/>
      <c r="BK154" s="39"/>
      <c r="BL154" s="39"/>
      <c r="BM154" s="39"/>
      <c r="BN154" s="216"/>
      <c r="BO154" s="209"/>
    </row>
    <row r="155" spans="1:67" ht="11.25" customHeight="1">
      <c r="A155" s="229" t="s">
        <v>355</v>
      </c>
      <c r="B155" s="215">
        <f>+B143-B153</f>
        <v>-236863</v>
      </c>
      <c r="C155" s="215">
        <f aca="true" t="shared" si="33" ref="C155:BH155">+C143-C153</f>
        <v>1078</v>
      </c>
      <c r="D155" s="215">
        <f t="shared" si="33"/>
        <v>45772</v>
      </c>
      <c r="E155" s="215">
        <f t="shared" si="33"/>
        <v>9657</v>
      </c>
      <c r="F155" s="215">
        <f t="shared" si="33"/>
        <v>1544586</v>
      </c>
      <c r="G155" s="215">
        <f t="shared" si="33"/>
        <v>163806</v>
      </c>
      <c r="H155" s="215">
        <f t="shared" si="33"/>
        <v>89936</v>
      </c>
      <c r="I155" s="215">
        <f t="shared" si="33"/>
        <v>114791</v>
      </c>
      <c r="J155" s="215">
        <f t="shared" si="33"/>
        <v>0</v>
      </c>
      <c r="K155" s="215">
        <f t="shared" si="33"/>
        <v>-381356</v>
      </c>
      <c r="L155" s="215">
        <f t="shared" si="33"/>
        <v>94324</v>
      </c>
      <c r="M155" s="215">
        <f t="shared" si="33"/>
        <v>2610</v>
      </c>
      <c r="N155" s="215">
        <f t="shared" si="33"/>
        <v>58568</v>
      </c>
      <c r="O155" s="215">
        <f t="shared" si="33"/>
        <v>-786</v>
      </c>
      <c r="P155" s="215">
        <f t="shared" si="33"/>
        <v>-259428</v>
      </c>
      <c r="Q155" s="215">
        <f t="shared" si="33"/>
        <v>76841</v>
      </c>
      <c r="R155" s="215">
        <f t="shared" si="33"/>
        <v>-13829</v>
      </c>
      <c r="S155" s="215">
        <f t="shared" si="33"/>
        <v>0</v>
      </c>
      <c r="T155" s="215">
        <f t="shared" si="33"/>
        <v>241346</v>
      </c>
      <c r="U155" s="215">
        <f t="shared" si="33"/>
        <v>-70827</v>
      </c>
      <c r="V155" s="215">
        <f t="shared" si="33"/>
        <v>-57461</v>
      </c>
      <c r="W155" s="215">
        <f t="shared" si="33"/>
        <v>-7095</v>
      </c>
      <c r="X155" s="215">
        <f t="shared" si="33"/>
        <v>273.70000000018626</v>
      </c>
      <c r="Y155" s="215">
        <f t="shared" si="33"/>
        <v>-68059</v>
      </c>
      <c r="Z155" s="215">
        <f t="shared" si="33"/>
        <v>0</v>
      </c>
      <c r="AA155" s="215">
        <f t="shared" si="33"/>
        <v>68129</v>
      </c>
      <c r="AB155" s="215">
        <f t="shared" si="33"/>
        <v>-36351.1110000005</v>
      </c>
      <c r="AC155" s="215">
        <f t="shared" si="33"/>
        <v>8261</v>
      </c>
      <c r="AD155" s="215">
        <f t="shared" si="33"/>
        <v>-308274</v>
      </c>
      <c r="AE155" s="215">
        <f t="shared" si="33"/>
        <v>-11084</v>
      </c>
      <c r="AF155" s="215">
        <f>+AF143-AF153</f>
        <v>2004.75900000002</v>
      </c>
      <c r="AG155" s="215">
        <f t="shared" si="33"/>
        <v>105208</v>
      </c>
      <c r="AH155" s="215">
        <f t="shared" si="33"/>
        <v>8406</v>
      </c>
      <c r="AI155" s="215">
        <f t="shared" si="33"/>
        <v>67782</v>
      </c>
      <c r="AJ155" s="215">
        <f t="shared" si="33"/>
        <v>-15989</v>
      </c>
      <c r="AK155" s="215">
        <f t="shared" si="33"/>
        <v>-14515.255000000034</v>
      </c>
      <c r="AL155" s="215">
        <f t="shared" si="33"/>
        <v>-2927</v>
      </c>
      <c r="AM155" s="215">
        <f t="shared" si="33"/>
        <v>-7812</v>
      </c>
      <c r="AN155" s="215">
        <f t="shared" si="33"/>
        <v>-2527</v>
      </c>
      <c r="AO155" s="215">
        <f t="shared" si="33"/>
        <v>381910</v>
      </c>
      <c r="AP155" s="215">
        <f t="shared" si="33"/>
        <v>-2799</v>
      </c>
      <c r="AQ155" s="215">
        <f t="shared" si="33"/>
        <v>970</v>
      </c>
      <c r="AR155" s="215">
        <f t="shared" si="33"/>
        <v>-6378</v>
      </c>
      <c r="AS155" s="215">
        <f t="shared" si="33"/>
        <v>254</v>
      </c>
      <c r="AT155" s="215">
        <f t="shared" si="33"/>
        <v>20491</v>
      </c>
      <c r="AU155" s="215">
        <f t="shared" si="33"/>
        <v>-5950.306999999913</v>
      </c>
      <c r="AV155" s="215">
        <f t="shared" si="33"/>
        <v>2684</v>
      </c>
      <c r="AW155" s="215">
        <f t="shared" si="33"/>
        <v>15153</v>
      </c>
      <c r="AX155" s="215">
        <f t="shared" si="33"/>
        <v>1832</v>
      </c>
      <c r="AY155" s="215">
        <f t="shared" si="33"/>
        <v>1128</v>
      </c>
      <c r="AZ155" s="215">
        <f t="shared" si="33"/>
        <v>660</v>
      </c>
      <c r="BA155" s="215">
        <f t="shared" si="33"/>
        <v>26576</v>
      </c>
      <c r="BB155" s="215">
        <f t="shared" si="33"/>
        <v>3481</v>
      </c>
      <c r="BC155" s="215">
        <f t="shared" si="33"/>
        <v>23158.557</v>
      </c>
      <c r="BD155" s="215">
        <f t="shared" si="33"/>
        <v>1262.6879999999946</v>
      </c>
      <c r="BE155" s="215">
        <f t="shared" si="33"/>
        <v>3719.6879999999946</v>
      </c>
      <c r="BF155" s="215">
        <f t="shared" si="33"/>
        <v>4830.687999999995</v>
      </c>
      <c r="BG155" s="215">
        <f t="shared" si="33"/>
        <v>2620.688000000002</v>
      </c>
      <c r="BH155" s="215">
        <f t="shared" si="33"/>
        <v>-1444</v>
      </c>
      <c r="BJ155" s="39">
        <f t="shared" si="26"/>
        <v>1682356.0950000002</v>
      </c>
      <c r="BK155" s="39"/>
      <c r="BL155" s="39">
        <f t="shared" si="28"/>
        <v>-108519.24800000002</v>
      </c>
      <c r="BM155" s="39">
        <f t="shared" si="29"/>
        <v>1790875.3429999999</v>
      </c>
      <c r="BN155" s="216"/>
      <c r="BO155" s="209"/>
    </row>
    <row r="156" spans="1:67" ht="11.25" customHeight="1">
      <c r="A156" s="229"/>
      <c r="B156" s="215"/>
      <c r="C156" s="215"/>
      <c r="D156" s="215"/>
      <c r="E156" s="215"/>
      <c r="F156" s="218"/>
      <c r="G156" s="218"/>
      <c r="H156" s="218"/>
      <c r="I156" s="218"/>
      <c r="J156" s="218"/>
      <c r="K156" s="218"/>
      <c r="L156" s="218"/>
      <c r="M156" s="217"/>
      <c r="N156" s="218"/>
      <c r="O156" s="218"/>
      <c r="P156" s="218"/>
      <c r="Q156" s="218"/>
      <c r="R156" s="218"/>
      <c r="S156" s="218"/>
      <c r="T156" s="218"/>
      <c r="U156" s="217"/>
      <c r="V156" s="218"/>
      <c r="W156" s="218"/>
      <c r="X156" s="218"/>
      <c r="Y156" s="218"/>
      <c r="Z156" s="297"/>
      <c r="AA156" s="218"/>
      <c r="AB156" s="218"/>
      <c r="AC156" s="218"/>
      <c r="AD156" s="218"/>
      <c r="AE156" s="218"/>
      <c r="AG156" s="218"/>
      <c r="AH156" s="218"/>
      <c r="AJ156" s="218"/>
      <c r="AL156" s="217"/>
      <c r="AM156" s="218"/>
      <c r="AN156" s="218"/>
      <c r="AP156" s="218"/>
      <c r="AQ156" s="218"/>
      <c r="AR156" s="218"/>
      <c r="AS156" s="218"/>
      <c r="AV156" s="218"/>
      <c r="AX156" s="218"/>
      <c r="AY156" s="218"/>
      <c r="AZ156" s="218"/>
      <c r="BA156" s="218"/>
      <c r="BB156" s="218"/>
      <c r="BC156" s="218">
        <v>0</v>
      </c>
      <c r="BD156" s="218"/>
      <c r="BE156" s="218"/>
      <c r="BF156" s="218"/>
      <c r="BJ156" s="39"/>
      <c r="BK156" s="39"/>
      <c r="BL156" s="39"/>
      <c r="BM156" s="39"/>
      <c r="BN156" s="216"/>
      <c r="BO156" s="209"/>
    </row>
    <row r="157" spans="1:67" ht="11.25" customHeight="1">
      <c r="A157" s="229" t="s">
        <v>356</v>
      </c>
      <c r="B157" s="215">
        <v>236863</v>
      </c>
      <c r="C157" s="215">
        <v>365615</v>
      </c>
      <c r="D157" s="215">
        <v>114575</v>
      </c>
      <c r="E157" s="215">
        <v>30730</v>
      </c>
      <c r="F157" s="39">
        <v>1323294</v>
      </c>
      <c r="G157" s="39">
        <v>560086</v>
      </c>
      <c r="H157" s="39">
        <v>290641</v>
      </c>
      <c r="I157" s="39">
        <v>333703</v>
      </c>
      <c r="J157" s="39">
        <v>0</v>
      </c>
      <c r="K157" s="39">
        <v>1023886</v>
      </c>
      <c r="L157" s="39">
        <v>281195</v>
      </c>
      <c r="M157" s="39">
        <v>33705</v>
      </c>
      <c r="N157" s="39">
        <v>53164</v>
      </c>
      <c r="O157" s="39">
        <v>151036</v>
      </c>
      <c r="P157" s="39">
        <v>423726</v>
      </c>
      <c r="Q157" s="39">
        <v>61500</v>
      </c>
      <c r="R157" s="39">
        <v>198796</v>
      </c>
      <c r="S157" s="39">
        <v>0</v>
      </c>
      <c r="T157" s="39">
        <v>134560</v>
      </c>
      <c r="U157" s="39">
        <v>75239</v>
      </c>
      <c r="V157" s="39">
        <v>71291</v>
      </c>
      <c r="W157" s="39">
        <v>114321</v>
      </c>
      <c r="X157" s="215">
        <v>2417</v>
      </c>
      <c r="Y157" s="39">
        <v>121716</v>
      </c>
      <c r="Z157" s="299">
        <v>0</v>
      </c>
      <c r="AA157" s="39">
        <v>18640</v>
      </c>
      <c r="AB157" s="39">
        <v>75240.259</v>
      </c>
      <c r="AC157" s="39">
        <v>133369</v>
      </c>
      <c r="AD157" s="39">
        <v>343757</v>
      </c>
      <c r="AE157" s="39">
        <v>22489</v>
      </c>
      <c r="AF157" s="39">
        <v>343.556</v>
      </c>
      <c r="AG157" s="39">
        <v>23877</v>
      </c>
      <c r="AH157" s="39">
        <v>2053</v>
      </c>
      <c r="AI157" s="39">
        <v>119729</v>
      </c>
      <c r="AJ157" s="39">
        <v>120605</v>
      </c>
      <c r="AK157" s="39">
        <v>20697.481</v>
      </c>
      <c r="AL157" s="39">
        <v>8194</v>
      </c>
      <c r="AM157" s="39">
        <v>8763</v>
      </c>
      <c r="AN157" s="39">
        <v>3184</v>
      </c>
      <c r="AO157" s="39">
        <v>813945</v>
      </c>
      <c r="AP157" s="39">
        <v>20435</v>
      </c>
      <c r="AQ157" s="39">
        <v>1128</v>
      </c>
      <c r="AR157" s="39">
        <v>36188</v>
      </c>
      <c r="AS157" s="39">
        <v>3</v>
      </c>
      <c r="AT157" s="39">
        <v>36291</v>
      </c>
      <c r="AU157" s="39">
        <v>11636.689</v>
      </c>
      <c r="AV157" s="39">
        <v>259</v>
      </c>
      <c r="AW157" s="39">
        <v>1422</v>
      </c>
      <c r="AX157" s="39">
        <v>237</v>
      </c>
      <c r="AY157" s="39">
        <v>820</v>
      </c>
      <c r="AZ157" s="39">
        <v>-294</v>
      </c>
      <c r="BA157" s="39">
        <v>44719</v>
      </c>
      <c r="BB157" s="39">
        <v>284</v>
      </c>
      <c r="BC157" s="39">
        <v>18572.457</v>
      </c>
      <c r="BD157" s="39">
        <v>7151</v>
      </c>
      <c r="BE157" s="39">
        <v>2851</v>
      </c>
      <c r="BF157" s="39">
        <v>38111</v>
      </c>
      <c r="BG157" s="39">
        <v>40023</v>
      </c>
      <c r="BH157" s="39">
        <v>1817</v>
      </c>
      <c r="BJ157" s="39">
        <f t="shared" si="26"/>
        <v>7978599.442</v>
      </c>
      <c r="BK157" s="39"/>
      <c r="BL157" s="39">
        <f t="shared" si="28"/>
        <v>733908</v>
      </c>
      <c r="BM157" s="39">
        <f t="shared" si="29"/>
        <v>7244691.442</v>
      </c>
      <c r="BN157" s="216"/>
      <c r="BO157" s="209"/>
    </row>
    <row r="158" spans="1:67" ht="11.25" customHeight="1">
      <c r="A158" s="236"/>
      <c r="B158" s="215"/>
      <c r="C158" s="215"/>
      <c r="D158" s="215"/>
      <c r="E158" s="215"/>
      <c r="F158" s="218"/>
      <c r="G158" s="218"/>
      <c r="H158" s="218"/>
      <c r="I158" s="218"/>
      <c r="J158" s="218"/>
      <c r="K158" s="218"/>
      <c r="L158" s="218"/>
      <c r="M158" s="217"/>
      <c r="N158" s="218"/>
      <c r="O158" s="218"/>
      <c r="P158" s="218"/>
      <c r="Q158" s="218"/>
      <c r="R158" s="218"/>
      <c r="S158" s="218"/>
      <c r="T158" s="218"/>
      <c r="U158" s="217"/>
      <c r="V158" s="218"/>
      <c r="W158" s="218"/>
      <c r="X158" s="218"/>
      <c r="Y158" s="218"/>
      <c r="Z158" s="236"/>
      <c r="AA158" s="218"/>
      <c r="AB158" s="218"/>
      <c r="AC158" s="218"/>
      <c r="AD158" s="218"/>
      <c r="AE158" s="218"/>
      <c r="AG158" s="218"/>
      <c r="AH158" s="218"/>
      <c r="AJ158" s="218"/>
      <c r="AL158" s="217"/>
      <c r="AM158" s="218"/>
      <c r="AN158" s="218"/>
      <c r="AP158" s="218"/>
      <c r="AQ158" s="218"/>
      <c r="AR158" s="218"/>
      <c r="AS158" s="218"/>
      <c r="AV158" s="218"/>
      <c r="AX158" s="218"/>
      <c r="AY158" s="218"/>
      <c r="AZ158" s="218"/>
      <c r="BA158" s="218"/>
      <c r="BB158" s="218"/>
      <c r="BC158" s="218">
        <v>0</v>
      </c>
      <c r="BD158" s="218"/>
      <c r="BE158" s="218"/>
      <c r="BF158" s="218"/>
      <c r="BJ158" s="39"/>
      <c r="BK158" s="39"/>
      <c r="BL158" s="39"/>
      <c r="BM158" s="39"/>
      <c r="BN158" s="216"/>
      <c r="BO158" s="209"/>
    </row>
    <row r="159" spans="1:66" s="209" customFormat="1" ht="11.25" customHeight="1">
      <c r="A159" s="288" t="s">
        <v>357</v>
      </c>
      <c r="B159" s="233">
        <f>+B155+B157</f>
        <v>0</v>
      </c>
      <c r="C159" s="233">
        <f aca="true" t="shared" si="34" ref="C159:BH159">+C155+C157</f>
        <v>366693</v>
      </c>
      <c r="D159" s="233">
        <f t="shared" si="34"/>
        <v>160347</v>
      </c>
      <c r="E159" s="233">
        <f t="shared" si="34"/>
        <v>40387</v>
      </c>
      <c r="F159" s="233">
        <f t="shared" si="34"/>
        <v>2867880</v>
      </c>
      <c r="G159" s="233">
        <f t="shared" si="34"/>
        <v>723892</v>
      </c>
      <c r="H159" s="233">
        <f t="shared" si="34"/>
        <v>380577</v>
      </c>
      <c r="I159" s="233">
        <f t="shared" si="34"/>
        <v>448494</v>
      </c>
      <c r="J159" s="233">
        <f t="shared" si="34"/>
        <v>0</v>
      </c>
      <c r="K159" s="233">
        <f t="shared" si="34"/>
        <v>642530</v>
      </c>
      <c r="L159" s="233">
        <f t="shared" si="34"/>
        <v>375519</v>
      </c>
      <c r="M159" s="233">
        <f t="shared" si="34"/>
        <v>36315</v>
      </c>
      <c r="N159" s="233">
        <f t="shared" si="34"/>
        <v>111732</v>
      </c>
      <c r="O159" s="233">
        <f t="shared" si="34"/>
        <v>150250</v>
      </c>
      <c r="P159" s="233">
        <f t="shared" si="34"/>
        <v>164298</v>
      </c>
      <c r="Q159" s="233">
        <f t="shared" si="34"/>
        <v>138341</v>
      </c>
      <c r="R159" s="233">
        <f t="shared" si="34"/>
        <v>184967</v>
      </c>
      <c r="S159" s="233">
        <f t="shared" si="34"/>
        <v>0</v>
      </c>
      <c r="T159" s="233">
        <f t="shared" si="34"/>
        <v>375906</v>
      </c>
      <c r="U159" s="233">
        <f t="shared" si="34"/>
        <v>4412</v>
      </c>
      <c r="V159" s="233">
        <f t="shared" si="34"/>
        <v>13830</v>
      </c>
      <c r="W159" s="233">
        <f t="shared" si="34"/>
        <v>107226</v>
      </c>
      <c r="X159" s="233">
        <f t="shared" si="34"/>
        <v>2690.7000000001863</v>
      </c>
      <c r="Y159" s="233">
        <f t="shared" si="34"/>
        <v>53657</v>
      </c>
      <c r="Z159" s="233">
        <f t="shared" si="34"/>
        <v>0</v>
      </c>
      <c r="AA159" s="233">
        <f t="shared" si="34"/>
        <v>86769</v>
      </c>
      <c r="AB159" s="233">
        <f t="shared" si="34"/>
        <v>38889.147999999506</v>
      </c>
      <c r="AC159" s="233">
        <f t="shared" si="34"/>
        <v>141630</v>
      </c>
      <c r="AD159" s="233">
        <f t="shared" si="34"/>
        <v>35483</v>
      </c>
      <c r="AE159" s="233">
        <f t="shared" si="34"/>
        <v>11405</v>
      </c>
      <c r="AF159" s="233">
        <f t="shared" si="34"/>
        <v>2348.31500000002</v>
      </c>
      <c r="AG159" s="233">
        <f t="shared" si="34"/>
        <v>129085</v>
      </c>
      <c r="AH159" s="233">
        <f t="shared" si="34"/>
        <v>10459</v>
      </c>
      <c r="AI159" s="233">
        <f t="shared" si="34"/>
        <v>187511</v>
      </c>
      <c r="AJ159" s="233">
        <f t="shared" si="34"/>
        <v>104616</v>
      </c>
      <c r="AK159" s="233">
        <f t="shared" si="34"/>
        <v>6182.225999999966</v>
      </c>
      <c r="AL159" s="233">
        <f t="shared" si="34"/>
        <v>5267</v>
      </c>
      <c r="AM159" s="233">
        <f t="shared" si="34"/>
        <v>951</v>
      </c>
      <c r="AN159" s="233">
        <f t="shared" si="34"/>
        <v>657</v>
      </c>
      <c r="AO159" s="233">
        <f t="shared" si="34"/>
        <v>1195855</v>
      </c>
      <c r="AP159" s="233">
        <f t="shared" si="34"/>
        <v>17636</v>
      </c>
      <c r="AQ159" s="233">
        <f t="shared" si="34"/>
        <v>2098</v>
      </c>
      <c r="AR159" s="233">
        <f t="shared" si="34"/>
        <v>29810</v>
      </c>
      <c r="AS159" s="233">
        <f t="shared" si="34"/>
        <v>257</v>
      </c>
      <c r="AT159" s="233">
        <f t="shared" si="34"/>
        <v>56782</v>
      </c>
      <c r="AU159" s="233">
        <f t="shared" si="34"/>
        <v>5686.382000000087</v>
      </c>
      <c r="AV159" s="233">
        <f t="shared" si="34"/>
        <v>2943</v>
      </c>
      <c r="AW159" s="233">
        <f t="shared" si="34"/>
        <v>16575</v>
      </c>
      <c r="AX159" s="233">
        <f t="shared" si="34"/>
        <v>2069</v>
      </c>
      <c r="AY159" s="233">
        <f t="shared" si="34"/>
        <v>1948</v>
      </c>
      <c r="AZ159" s="233">
        <f t="shared" si="34"/>
        <v>366</v>
      </c>
      <c r="BA159" s="233">
        <f t="shared" si="34"/>
        <v>71295</v>
      </c>
      <c r="BB159" s="233">
        <f t="shared" si="34"/>
        <v>3765</v>
      </c>
      <c r="BC159" s="233">
        <f t="shared" si="34"/>
        <v>41731.013999999996</v>
      </c>
      <c r="BD159" s="233">
        <f t="shared" si="34"/>
        <v>8413.687999999995</v>
      </c>
      <c r="BE159" s="233">
        <f t="shared" si="34"/>
        <v>6570.687999999995</v>
      </c>
      <c r="BF159" s="233">
        <f t="shared" si="34"/>
        <v>42941.687999999995</v>
      </c>
      <c r="BG159" s="233">
        <f t="shared" si="34"/>
        <v>42643.688</v>
      </c>
      <c r="BH159" s="233">
        <f t="shared" si="34"/>
        <v>373</v>
      </c>
      <c r="BJ159" s="207">
        <f t="shared" si="26"/>
        <v>9660955.536999995</v>
      </c>
      <c r="BK159" s="207"/>
      <c r="BL159" s="207">
        <f t="shared" si="28"/>
        <v>625388.7519999999</v>
      </c>
      <c r="BM159" s="207">
        <f t="shared" si="29"/>
        <v>9035566.784999998</v>
      </c>
      <c r="BN159" s="233"/>
    </row>
    <row r="160" spans="1:65" ht="11.25" customHeight="1" hidden="1">
      <c r="A160" s="205" t="s">
        <v>497</v>
      </c>
      <c r="BM160" s="39">
        <f>+B160+F160+G160+H160+I160+J160+K160+L160+M160+N160+O160+P160+Q160+R160+S160+T160+U160+V160+W160+X160+Y160+AA160+AB160+AD160+AE160+AF160+AH160+AI160+AJ160+AK160+AM160+AO160+AP160+AQ160+AS160+AU160+AV160+AY160+AZ160+BB160+BC160+BH160</f>
        <v>0</v>
      </c>
    </row>
    <row r="161" spans="1:65" ht="11.25" customHeight="1" hidden="1">
      <c r="A161" s="205" t="s">
        <v>499</v>
      </c>
      <c r="B161" s="205">
        <f aca="true" t="shared" si="35" ref="B161:AH161">+B65-B119</f>
        <v>0</v>
      </c>
      <c r="C161" s="205">
        <f t="shared" si="35"/>
        <v>-0.3999999985098839</v>
      </c>
      <c r="D161" s="205">
        <f t="shared" si="35"/>
        <v>0</v>
      </c>
      <c r="E161" s="205">
        <f t="shared" si="35"/>
        <v>0</v>
      </c>
      <c r="F161" s="205">
        <f t="shared" si="35"/>
        <v>0</v>
      </c>
      <c r="G161" s="205">
        <f t="shared" si="35"/>
        <v>0</v>
      </c>
      <c r="H161" s="205">
        <f t="shared" si="35"/>
        <v>0</v>
      </c>
      <c r="I161" s="205">
        <f t="shared" si="35"/>
        <v>0</v>
      </c>
      <c r="J161" s="205">
        <f t="shared" si="35"/>
        <v>0</v>
      </c>
      <c r="K161" s="205">
        <f t="shared" si="35"/>
        <v>0</v>
      </c>
      <c r="L161" s="205">
        <f t="shared" si="35"/>
        <v>0</v>
      </c>
      <c r="M161" s="205">
        <f t="shared" si="35"/>
        <v>0</v>
      </c>
      <c r="N161" s="205">
        <f t="shared" si="35"/>
        <v>0</v>
      </c>
      <c r="O161" s="205">
        <f t="shared" si="35"/>
        <v>0</v>
      </c>
      <c r="P161" s="205">
        <f t="shared" si="35"/>
        <v>0</v>
      </c>
      <c r="Q161" s="205">
        <f t="shared" si="35"/>
        <v>0</v>
      </c>
      <c r="R161" s="205">
        <f t="shared" si="35"/>
        <v>0</v>
      </c>
      <c r="S161" s="205">
        <f t="shared" si="35"/>
        <v>0</v>
      </c>
      <c r="T161" s="205">
        <f t="shared" si="35"/>
        <v>0</v>
      </c>
      <c r="U161" s="205">
        <f t="shared" si="35"/>
        <v>0</v>
      </c>
      <c r="V161" s="205">
        <f t="shared" si="35"/>
        <v>0</v>
      </c>
      <c r="W161" s="205">
        <f t="shared" si="35"/>
        <v>0</v>
      </c>
      <c r="X161" s="205">
        <f t="shared" si="35"/>
        <v>0</v>
      </c>
      <c r="Y161" s="205">
        <f t="shared" si="35"/>
        <v>0</v>
      </c>
      <c r="Z161" s="205">
        <f t="shared" si="35"/>
        <v>0</v>
      </c>
      <c r="AA161" s="205">
        <f t="shared" si="35"/>
        <v>0</v>
      </c>
      <c r="AB161" s="205">
        <f t="shared" si="35"/>
        <v>0.00024999864399433136</v>
      </c>
      <c r="AC161" s="205">
        <f t="shared" si="35"/>
        <v>0</v>
      </c>
      <c r="AD161" s="205">
        <f t="shared" si="35"/>
        <v>0</v>
      </c>
      <c r="AE161" s="205">
        <f t="shared" si="35"/>
        <v>0</v>
      </c>
      <c r="AF161" s="205">
        <f t="shared" si="35"/>
        <v>0.0010000000474974513</v>
      </c>
      <c r="AG161" s="205">
        <f t="shared" si="35"/>
        <v>0</v>
      </c>
      <c r="AH161" s="205">
        <f t="shared" si="35"/>
        <v>0</v>
      </c>
      <c r="AI161" s="205">
        <f>+AI60-AI118</f>
        <v>0</v>
      </c>
      <c r="AJ161" s="205">
        <f aca="true" t="shared" si="36" ref="AJ161:BL161">+AJ65-AJ119</f>
        <v>0</v>
      </c>
      <c r="AK161" s="205">
        <f t="shared" si="36"/>
        <v>0</v>
      </c>
      <c r="AL161" s="205">
        <f t="shared" si="36"/>
        <v>0</v>
      </c>
      <c r="AM161" s="205">
        <f t="shared" si="36"/>
        <v>0</v>
      </c>
      <c r="AN161" s="205">
        <f t="shared" si="36"/>
        <v>0</v>
      </c>
      <c r="AO161" s="205">
        <f t="shared" si="36"/>
        <v>0</v>
      </c>
      <c r="AP161" s="205">
        <f t="shared" si="36"/>
        <v>0</v>
      </c>
      <c r="AQ161" s="205">
        <f t="shared" si="36"/>
        <v>0</v>
      </c>
      <c r="AR161" s="205">
        <f t="shared" si="36"/>
        <v>0</v>
      </c>
      <c r="AS161" s="205">
        <f t="shared" si="36"/>
        <v>0</v>
      </c>
      <c r="AT161" s="205">
        <f t="shared" si="36"/>
        <v>0</v>
      </c>
      <c r="AU161" s="205">
        <f t="shared" si="36"/>
        <v>0.0009999996982514858</v>
      </c>
      <c r="AV161" s="205">
        <f t="shared" si="36"/>
        <v>0</v>
      </c>
      <c r="AW161" s="205">
        <f t="shared" si="36"/>
        <v>0</v>
      </c>
      <c r="AX161" s="205">
        <f t="shared" si="36"/>
        <v>0</v>
      </c>
      <c r="AY161" s="205">
        <f t="shared" si="36"/>
        <v>0</v>
      </c>
      <c r="AZ161" s="205">
        <f t="shared" si="36"/>
        <v>0</v>
      </c>
      <c r="BA161" s="205">
        <f t="shared" si="36"/>
        <v>0</v>
      </c>
      <c r="BB161" s="205">
        <f t="shared" si="36"/>
        <v>0</v>
      </c>
      <c r="BC161" s="205">
        <f t="shared" si="36"/>
        <v>0</v>
      </c>
      <c r="BD161" s="205">
        <f t="shared" si="36"/>
        <v>0</v>
      </c>
      <c r="BE161" s="205">
        <f t="shared" si="36"/>
        <v>0</v>
      </c>
      <c r="BF161" s="205">
        <f t="shared" si="36"/>
        <v>0</v>
      </c>
      <c r="BG161" s="205">
        <f t="shared" si="36"/>
        <v>0</v>
      </c>
      <c r="BH161" s="205">
        <f t="shared" si="36"/>
        <v>-0.15099999999983993</v>
      </c>
      <c r="BI161" s="205">
        <f t="shared" si="36"/>
        <v>0</v>
      </c>
      <c r="BJ161" s="301">
        <f t="shared" si="36"/>
        <v>-0.5487500429153442</v>
      </c>
      <c r="BK161" s="205">
        <f t="shared" si="36"/>
        <v>0</v>
      </c>
      <c r="BL161" s="205">
        <f t="shared" si="36"/>
        <v>0</v>
      </c>
      <c r="BM161" s="39">
        <f>+B161+F161+G161+H161+I161+J161+K161+L161+M161+N161+O161+P161+Q161+R161+S161+T161+U161+V161+W161+X161+Y161+AA161+AB161+AD161+AE161+AF161+AH161+AI161+AJ161+AK161+AM161+AO161+AP161+AQ161+AS161+AU161+AV161+AY161+AZ161+BB161+BC161+BH161</f>
        <v>-0.14875000161009666</v>
      </c>
    </row>
    <row r="162" spans="1:65" ht="11.25" customHeight="1" hidden="1">
      <c r="A162" s="205" t="s">
        <v>500</v>
      </c>
      <c r="B162" s="205">
        <f aca="true" t="shared" si="37" ref="B162:AG162">+B97-B159</f>
        <v>0</v>
      </c>
      <c r="C162" s="205">
        <f t="shared" si="37"/>
        <v>0</v>
      </c>
      <c r="D162" s="205">
        <f t="shared" si="37"/>
        <v>0</v>
      </c>
      <c r="E162" s="205">
        <f t="shared" si="37"/>
        <v>0</v>
      </c>
      <c r="F162" s="205">
        <f t="shared" si="37"/>
        <v>0</v>
      </c>
      <c r="G162" s="205">
        <f t="shared" si="37"/>
        <v>0</v>
      </c>
      <c r="H162" s="205">
        <f t="shared" si="37"/>
        <v>0</v>
      </c>
      <c r="I162" s="205">
        <f t="shared" si="37"/>
        <v>0</v>
      </c>
      <c r="J162" s="205">
        <f t="shared" si="37"/>
        <v>0</v>
      </c>
      <c r="K162" s="205">
        <f t="shared" si="37"/>
        <v>0</v>
      </c>
      <c r="L162" s="205">
        <f t="shared" si="37"/>
        <v>0</v>
      </c>
      <c r="M162" s="205">
        <f t="shared" si="37"/>
        <v>0</v>
      </c>
      <c r="N162" s="205">
        <f t="shared" si="37"/>
        <v>0</v>
      </c>
      <c r="O162" s="205">
        <f t="shared" si="37"/>
        <v>0</v>
      </c>
      <c r="P162" s="205">
        <f t="shared" si="37"/>
        <v>0</v>
      </c>
      <c r="Q162" s="205">
        <f t="shared" si="37"/>
        <v>0</v>
      </c>
      <c r="R162" s="205">
        <f t="shared" si="37"/>
        <v>0</v>
      </c>
      <c r="S162" s="205">
        <f t="shared" si="37"/>
        <v>0</v>
      </c>
      <c r="T162" s="205">
        <f t="shared" si="37"/>
        <v>0</v>
      </c>
      <c r="U162" s="205">
        <f t="shared" si="37"/>
        <v>0</v>
      </c>
      <c r="V162" s="205">
        <f t="shared" si="37"/>
        <v>0</v>
      </c>
      <c r="W162" s="205">
        <f t="shared" si="37"/>
        <v>0</v>
      </c>
      <c r="X162" s="205">
        <f t="shared" si="37"/>
        <v>0.2999999998137355</v>
      </c>
      <c r="Y162" s="205">
        <f t="shared" si="37"/>
        <v>0</v>
      </c>
      <c r="Z162" s="205">
        <f t="shared" si="37"/>
        <v>0</v>
      </c>
      <c r="AA162" s="205">
        <f t="shared" si="37"/>
        <v>0</v>
      </c>
      <c r="AB162" s="205">
        <f t="shared" si="37"/>
        <v>4.94765117764473E-10</v>
      </c>
      <c r="AC162" s="205">
        <f t="shared" si="37"/>
        <v>0</v>
      </c>
      <c r="AD162" s="205">
        <f t="shared" si="37"/>
        <v>0</v>
      </c>
      <c r="AE162" s="205">
        <f t="shared" si="37"/>
        <v>0</v>
      </c>
      <c r="AF162" s="205">
        <f t="shared" si="37"/>
        <v>-2.000888343900442E-11</v>
      </c>
      <c r="AG162" s="205">
        <f t="shared" si="37"/>
        <v>0</v>
      </c>
      <c r="AH162" s="205">
        <f aca="true" t="shared" si="38" ref="AH162:BL162">+AH97-AH159</f>
        <v>0</v>
      </c>
      <c r="AI162" s="205">
        <f t="shared" si="38"/>
        <v>0</v>
      </c>
      <c r="AJ162" s="205">
        <f t="shared" si="38"/>
        <v>0</v>
      </c>
      <c r="AK162" s="205">
        <f t="shared" si="38"/>
        <v>3.3651303965598345E-11</v>
      </c>
      <c r="AL162" s="205">
        <f t="shared" si="38"/>
        <v>0</v>
      </c>
      <c r="AM162" s="205">
        <f t="shared" si="38"/>
        <v>0</v>
      </c>
      <c r="AN162" s="205">
        <f t="shared" si="38"/>
        <v>0</v>
      </c>
      <c r="AO162" s="205">
        <f t="shared" si="38"/>
        <v>0</v>
      </c>
      <c r="AP162" s="205">
        <f t="shared" si="38"/>
        <v>0</v>
      </c>
      <c r="AQ162" s="205">
        <f t="shared" si="38"/>
        <v>0</v>
      </c>
      <c r="AR162" s="205">
        <f t="shared" si="38"/>
        <v>0</v>
      </c>
      <c r="AS162" s="205">
        <f t="shared" si="38"/>
        <v>0</v>
      </c>
      <c r="AT162" s="205">
        <f t="shared" si="38"/>
        <v>0</v>
      </c>
      <c r="AU162" s="205">
        <f t="shared" si="38"/>
        <v>-0.0010000000866057235</v>
      </c>
      <c r="AV162" s="205">
        <f t="shared" si="38"/>
        <v>0</v>
      </c>
      <c r="AW162" s="205">
        <f t="shared" si="38"/>
        <v>0</v>
      </c>
      <c r="AX162" s="205">
        <f t="shared" si="38"/>
        <v>0</v>
      </c>
      <c r="AY162" s="205">
        <f t="shared" si="38"/>
        <v>0</v>
      </c>
      <c r="AZ162" s="205">
        <f t="shared" si="38"/>
        <v>0</v>
      </c>
      <c r="BA162" s="205">
        <f t="shared" si="38"/>
        <v>0</v>
      </c>
      <c r="BB162" s="205">
        <f t="shared" si="38"/>
        <v>0</v>
      </c>
      <c r="BC162" s="205">
        <f t="shared" si="38"/>
        <v>0</v>
      </c>
      <c r="BD162" s="205">
        <f t="shared" si="38"/>
        <v>0.3120000000053551</v>
      </c>
      <c r="BE162" s="205">
        <f t="shared" si="38"/>
        <v>0.3120000000053551</v>
      </c>
      <c r="BF162" s="205">
        <f t="shared" si="38"/>
        <v>0.3120000000053551</v>
      </c>
      <c r="BG162" s="205">
        <f t="shared" si="38"/>
        <v>0.31199999999807915</v>
      </c>
      <c r="BH162" s="205">
        <f t="shared" si="38"/>
        <v>0</v>
      </c>
      <c r="BI162" s="205">
        <f t="shared" si="38"/>
        <v>0</v>
      </c>
      <c r="BJ162" s="301">
        <f t="shared" si="38"/>
        <v>1.54700000397861</v>
      </c>
      <c r="BK162" s="205">
        <f t="shared" si="38"/>
        <v>0</v>
      </c>
      <c r="BL162" s="205">
        <f t="shared" si="38"/>
        <v>1.2480000001378357</v>
      </c>
      <c r="BM162" s="39">
        <f>+B162+F162+G162+H162+I162+J162+K162+L162+M162+N162+O162+P162+Q162+R162+S162+T162+U162+V162+W162+X162+Y162+AA162+AB162+AD162+AE162+AF162+AH162+AI162+AJ162+AK162+AM162+AO162+AP162+AQ162+AS162+AU162+AV162+AY162+AZ162+BB162+BC162+BH162</f>
        <v>0.2990000002355373</v>
      </c>
    </row>
  </sheetData>
  <sheetProtection/>
  <mergeCells count="27">
    <mergeCell ref="AM1:AN1"/>
    <mergeCell ref="AM2:AN2"/>
    <mergeCell ref="AM3:AN3"/>
    <mergeCell ref="AM4:AN4"/>
    <mergeCell ref="V1:W1"/>
    <mergeCell ref="V2:W2"/>
    <mergeCell ref="V3:W3"/>
    <mergeCell ref="V4:W4"/>
    <mergeCell ref="AG1:AH1"/>
    <mergeCell ref="AG2:AH2"/>
    <mergeCell ref="AG3:AH3"/>
    <mergeCell ref="AG4:AH4"/>
    <mergeCell ref="P4:Q4"/>
    <mergeCell ref="P1:Q1"/>
    <mergeCell ref="P2:Q2"/>
    <mergeCell ref="P3:Q3"/>
    <mergeCell ref="R1:S1"/>
    <mergeCell ref="R2:S2"/>
    <mergeCell ref="R3:S3"/>
    <mergeCell ref="R4:S4"/>
    <mergeCell ref="B1:E1"/>
    <mergeCell ref="B2:E2"/>
    <mergeCell ref="B4:E4"/>
    <mergeCell ref="I4:J4"/>
    <mergeCell ref="I1:J1"/>
    <mergeCell ref="I2:J2"/>
    <mergeCell ref="I3:J3"/>
  </mergeCells>
  <printOptions/>
  <pageMargins left="0.4724409448818898" right="0.2755905511811024" top="0.8267716535433072" bottom="0" header="0.1968503937007874" footer="0.11811023622047245"/>
  <pageSetup firstPageNumber="35" useFirstPageNumber="1" horizontalDpi="600" verticalDpi="600" orientation="portrait" paperSize="9" r:id="rId1"/>
  <headerFooter alignWithMargins="0">
    <oddHeader>&amp;C&amp;"Times New Roman,Bold"&amp;14 4.1. SAMTRYGGINGARDEILDIR      
YFIRLIT, EFNAHAGSREIKNINGAR OG SJÓÐSTREYMI ÁRIÐ 2003</oddHeader>
    <oddFooter>&amp;R&amp;"Times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Q92"/>
  <sheetViews>
    <sheetView zoomScalePageLayoutView="0" workbookViewId="0" topLeftCell="A1">
      <pane xSplit="2" ySplit="6" topLeftCell="BE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L14" sqref="BL14"/>
    </sheetView>
  </sheetViews>
  <sheetFormatPr defaultColWidth="9.140625" defaultRowHeight="12.75"/>
  <cols>
    <col min="1" max="1" width="28.140625" style="79" customWidth="1"/>
    <col min="2" max="2" width="2.7109375" style="319" customWidth="1"/>
    <col min="3" max="3" width="9.28125" style="2" customWidth="1"/>
    <col min="4" max="5" width="10.00390625" style="2" customWidth="1"/>
    <col min="6" max="6" width="9.140625" style="2" customWidth="1"/>
    <col min="7" max="7" width="9.57421875" style="2" customWidth="1"/>
    <col min="8" max="8" width="9.7109375" style="2" customWidth="1"/>
    <col min="9" max="10" width="9.421875" style="2" customWidth="1"/>
    <col min="11" max="11" width="9.28125" style="2" customWidth="1"/>
    <col min="12" max="12" width="10.7109375" style="2" customWidth="1"/>
    <col min="13" max="13" width="9.28125" style="2" customWidth="1"/>
    <col min="14" max="14" width="9.7109375" style="2" customWidth="1"/>
    <col min="15" max="15" width="9.28125" style="2" customWidth="1"/>
    <col min="16" max="16" width="9.28125" style="79" customWidth="1"/>
    <col min="17" max="20" width="10.7109375" style="79" customWidth="1"/>
    <col min="21" max="22" width="10.7109375" style="2" customWidth="1"/>
    <col min="23" max="23" width="10.421875" style="2" customWidth="1"/>
    <col min="24" max="24" width="8.8515625" style="2" customWidth="1"/>
    <col min="25" max="25" width="8.57421875" style="79" customWidth="1"/>
    <col min="26" max="26" width="9.7109375" style="2" customWidth="1"/>
    <col min="27" max="28" width="9.28125" style="2" customWidth="1"/>
    <col min="29" max="29" width="9.7109375" style="2" customWidth="1"/>
    <col min="30" max="30" width="9.140625" style="2" customWidth="1"/>
    <col min="31" max="31" width="8.00390625" style="2" customWidth="1"/>
    <col min="32" max="32" width="9.8515625" style="2" customWidth="1"/>
    <col min="33" max="33" width="9.00390625" style="79" customWidth="1"/>
    <col min="34" max="34" width="8.140625" style="2" customWidth="1"/>
    <col min="35" max="35" width="8.7109375" style="2" customWidth="1"/>
    <col min="36" max="36" width="9.7109375" style="2" customWidth="1"/>
    <col min="37" max="37" width="9.57421875" style="2" customWidth="1"/>
    <col min="38" max="38" width="9.00390625" style="2" customWidth="1"/>
    <col min="39" max="39" width="10.140625" style="2" customWidth="1"/>
    <col min="40" max="41" width="9.00390625" style="2" customWidth="1"/>
    <col min="42" max="42" width="9.421875" style="2" customWidth="1"/>
    <col min="43" max="43" width="9.140625" style="2" customWidth="1"/>
    <col min="44" max="44" width="9.28125" style="2" customWidth="1"/>
    <col min="45" max="45" width="9.8515625" style="79" customWidth="1"/>
    <col min="46" max="46" width="9.57421875" style="2" customWidth="1"/>
    <col min="47" max="47" width="10.421875" style="2" customWidth="1"/>
    <col min="48" max="48" width="10.7109375" style="2" customWidth="1"/>
    <col min="49" max="49" width="10.00390625" style="2" customWidth="1"/>
    <col min="50" max="50" width="10.421875" style="79" customWidth="1"/>
    <col min="51" max="51" width="9.57421875" style="2" customWidth="1"/>
    <col min="52" max="52" width="10.421875" style="2" customWidth="1"/>
    <col min="53" max="53" width="10.140625" style="2" customWidth="1"/>
    <col min="54" max="54" width="10.7109375" style="2" bestFit="1" customWidth="1"/>
    <col min="55" max="55" width="10.28125" style="2" customWidth="1"/>
    <col min="56" max="56" width="9.7109375" style="2" customWidth="1"/>
    <col min="57" max="57" width="12.57421875" style="2" customWidth="1"/>
    <col min="58" max="58" width="11.140625" style="2" customWidth="1"/>
    <col min="59" max="59" width="11.8515625" style="2" customWidth="1"/>
    <col min="60" max="60" width="10.7109375" style="79" customWidth="1"/>
    <col min="61" max="61" width="10.140625" style="2" customWidth="1"/>
    <col min="62" max="62" width="4.57421875" style="2" customWidth="1"/>
    <col min="63" max="63" width="12.421875" style="2" customWidth="1"/>
    <col min="64" max="64" width="10.00390625" style="2" customWidth="1"/>
    <col min="65" max="66" width="12.57421875" style="2" customWidth="1"/>
    <col min="67" max="67" width="10.140625" style="2" bestFit="1" customWidth="1"/>
    <col min="68" max="16384" width="9.140625" style="2" customWidth="1"/>
  </cols>
  <sheetData>
    <row r="1" spans="1:66" s="41" customFormat="1" ht="15" customHeight="1">
      <c r="A1" s="30"/>
      <c r="B1" s="101"/>
      <c r="C1" s="374" t="s">
        <v>71</v>
      </c>
      <c r="D1" s="374"/>
      <c r="E1" s="374"/>
      <c r="F1" s="374"/>
      <c r="G1" s="84" t="s">
        <v>71</v>
      </c>
      <c r="H1" s="84" t="s">
        <v>71</v>
      </c>
      <c r="I1" s="84" t="s">
        <v>71</v>
      </c>
      <c r="J1" s="374" t="s">
        <v>72</v>
      </c>
      <c r="K1" s="374"/>
      <c r="L1" s="84" t="s">
        <v>71</v>
      </c>
      <c r="M1" s="84" t="s">
        <v>73</v>
      </c>
      <c r="N1" s="84" t="s">
        <v>525</v>
      </c>
      <c r="O1" s="84" t="s">
        <v>75</v>
      </c>
      <c r="P1" s="84" t="s">
        <v>71</v>
      </c>
      <c r="Q1" s="374" t="s">
        <v>71</v>
      </c>
      <c r="R1" s="374"/>
      <c r="S1" s="374" t="s">
        <v>74</v>
      </c>
      <c r="T1" s="374"/>
      <c r="U1" s="84" t="s">
        <v>71</v>
      </c>
      <c r="V1" s="84" t="s">
        <v>71</v>
      </c>
      <c r="W1" s="374" t="s">
        <v>71</v>
      </c>
      <c r="X1" s="374" t="s">
        <v>71</v>
      </c>
      <c r="Y1" s="84" t="s">
        <v>71</v>
      </c>
      <c r="Z1" s="84" t="s">
        <v>71</v>
      </c>
      <c r="AA1" s="84" t="s">
        <v>71</v>
      </c>
      <c r="AB1" s="84" t="s">
        <v>71</v>
      </c>
      <c r="AC1" s="84" t="s">
        <v>71</v>
      </c>
      <c r="AD1" s="84" t="s">
        <v>71</v>
      </c>
      <c r="AE1" s="84" t="s">
        <v>71</v>
      </c>
      <c r="AF1" s="84" t="s">
        <v>76</v>
      </c>
      <c r="AG1" s="84" t="s">
        <v>78</v>
      </c>
      <c r="AH1" s="374" t="s">
        <v>71</v>
      </c>
      <c r="AI1" s="374" t="s">
        <v>71</v>
      </c>
      <c r="AJ1" s="84" t="s">
        <v>71</v>
      </c>
      <c r="AK1" s="84" t="s">
        <v>71</v>
      </c>
      <c r="AL1" s="84" t="s">
        <v>80</v>
      </c>
      <c r="AM1" s="84" t="s">
        <v>79</v>
      </c>
      <c r="AN1" s="374" t="s">
        <v>71</v>
      </c>
      <c r="AO1" s="374" t="s">
        <v>71</v>
      </c>
      <c r="AP1" s="84" t="s">
        <v>71</v>
      </c>
      <c r="AQ1" s="84" t="s">
        <v>71</v>
      </c>
      <c r="AR1" s="84" t="s">
        <v>71</v>
      </c>
      <c r="AS1" s="84" t="s">
        <v>71</v>
      </c>
      <c r="AT1" s="84" t="s">
        <v>71</v>
      </c>
      <c r="AU1" s="84" t="s">
        <v>79</v>
      </c>
      <c r="AV1" s="84" t="s">
        <v>79</v>
      </c>
      <c r="AW1" s="84" t="s">
        <v>71</v>
      </c>
      <c r="AX1" s="84" t="s">
        <v>71</v>
      </c>
      <c r="AY1" s="84" t="s">
        <v>71</v>
      </c>
      <c r="AZ1" s="84" t="s">
        <v>79</v>
      </c>
      <c r="BA1" s="84" t="s">
        <v>79</v>
      </c>
      <c r="BB1" s="84" t="s">
        <v>79</v>
      </c>
      <c r="BC1" s="84" t="s">
        <v>71</v>
      </c>
      <c r="BD1" s="84" t="s">
        <v>77</v>
      </c>
      <c r="BE1" s="84" t="s">
        <v>71</v>
      </c>
      <c r="BF1" s="84" t="s">
        <v>71</v>
      </c>
      <c r="BG1" s="84" t="s">
        <v>79</v>
      </c>
      <c r="BH1" s="84" t="s">
        <v>71</v>
      </c>
      <c r="BI1" s="84" t="s">
        <v>71</v>
      </c>
      <c r="BK1" s="84"/>
      <c r="BL1" s="84"/>
      <c r="BM1" s="84" t="s">
        <v>71</v>
      </c>
      <c r="BN1" s="84" t="s">
        <v>71</v>
      </c>
    </row>
    <row r="2" spans="1:66" s="41" customFormat="1" ht="15" customHeight="1">
      <c r="A2" s="33" t="s">
        <v>64</v>
      </c>
      <c r="B2" s="101"/>
      <c r="C2" s="374" t="s">
        <v>401</v>
      </c>
      <c r="D2" s="374"/>
      <c r="E2" s="374"/>
      <c r="F2" s="374"/>
      <c r="G2" s="84" t="s">
        <v>82</v>
      </c>
      <c r="H2" s="84" t="s">
        <v>84</v>
      </c>
      <c r="I2" s="84" t="s">
        <v>86</v>
      </c>
      <c r="J2" s="374" t="s">
        <v>85</v>
      </c>
      <c r="K2" s="374"/>
      <c r="L2" s="84" t="s">
        <v>87</v>
      </c>
      <c r="M2" s="84" t="s">
        <v>85</v>
      </c>
      <c r="N2" s="84" t="s">
        <v>97</v>
      </c>
      <c r="O2" s="84" t="s">
        <v>85</v>
      </c>
      <c r="P2" s="84" t="s">
        <v>89</v>
      </c>
      <c r="Q2" s="374" t="s">
        <v>88</v>
      </c>
      <c r="R2" s="374" t="s">
        <v>88</v>
      </c>
      <c r="S2" s="374" t="s">
        <v>85</v>
      </c>
      <c r="T2" s="374" t="s">
        <v>85</v>
      </c>
      <c r="U2" s="84" t="s">
        <v>90</v>
      </c>
      <c r="V2" s="84" t="s">
        <v>92</v>
      </c>
      <c r="W2" s="374" t="s">
        <v>91</v>
      </c>
      <c r="X2" s="374" t="s">
        <v>91</v>
      </c>
      <c r="Y2" s="84" t="s">
        <v>95</v>
      </c>
      <c r="Z2" s="84" t="s">
        <v>94</v>
      </c>
      <c r="AA2" s="84" t="s">
        <v>98</v>
      </c>
      <c r="AB2" s="84" t="s">
        <v>96</v>
      </c>
      <c r="AC2" s="84" t="s">
        <v>93</v>
      </c>
      <c r="AD2" s="84" t="s">
        <v>102</v>
      </c>
      <c r="AE2" s="84" t="s">
        <v>99</v>
      </c>
      <c r="AF2" s="84" t="s">
        <v>100</v>
      </c>
      <c r="AG2" s="84" t="s">
        <v>85</v>
      </c>
      <c r="AH2" s="374" t="s">
        <v>102</v>
      </c>
      <c r="AI2" s="374" t="s">
        <v>102</v>
      </c>
      <c r="AJ2" s="84" t="s">
        <v>102</v>
      </c>
      <c r="AK2" s="84" t="s">
        <v>103</v>
      </c>
      <c r="AL2" s="84" t="s">
        <v>85</v>
      </c>
      <c r="AM2" s="84" t="s">
        <v>102</v>
      </c>
      <c r="AN2" s="374" t="s">
        <v>104</v>
      </c>
      <c r="AO2" s="374" t="s">
        <v>104</v>
      </c>
      <c r="AP2" s="84" t="s">
        <v>107</v>
      </c>
      <c r="AQ2" s="84" t="s">
        <v>106</v>
      </c>
      <c r="AR2" s="84" t="s">
        <v>105</v>
      </c>
      <c r="AS2" s="84" t="s">
        <v>109</v>
      </c>
      <c r="AT2" s="84" t="s">
        <v>112</v>
      </c>
      <c r="AU2" s="84" t="s">
        <v>110</v>
      </c>
      <c r="AV2" s="84" t="s">
        <v>108</v>
      </c>
      <c r="AW2" s="84" t="s">
        <v>111</v>
      </c>
      <c r="AX2" s="84" t="s">
        <v>113</v>
      </c>
      <c r="AY2" s="84" t="s">
        <v>114</v>
      </c>
      <c r="AZ2" s="84" t="s">
        <v>116</v>
      </c>
      <c r="BA2" s="84" t="s">
        <v>115</v>
      </c>
      <c r="BB2" s="84" t="s">
        <v>117</v>
      </c>
      <c r="BC2" s="84" t="s">
        <v>102</v>
      </c>
      <c r="BD2" s="84" t="s">
        <v>101</v>
      </c>
      <c r="BE2" s="84" t="s">
        <v>422</v>
      </c>
      <c r="BF2" s="84" t="s">
        <v>118</v>
      </c>
      <c r="BG2" s="84" t="s">
        <v>119</v>
      </c>
      <c r="BH2" s="84" t="s">
        <v>120</v>
      </c>
      <c r="BI2" s="84" t="s">
        <v>121</v>
      </c>
      <c r="BK2" s="84" t="s">
        <v>122</v>
      </c>
      <c r="BL2" s="84"/>
      <c r="BM2" s="84" t="s">
        <v>123</v>
      </c>
      <c r="BN2" s="84" t="s">
        <v>124</v>
      </c>
    </row>
    <row r="3" spans="1:66" s="41" customFormat="1" ht="15" customHeight="1">
      <c r="A3" s="30"/>
      <c r="B3" s="101"/>
      <c r="C3" s="91" t="s">
        <v>400</v>
      </c>
      <c r="D3" s="91" t="s">
        <v>400</v>
      </c>
      <c r="E3" s="91" t="s">
        <v>400</v>
      </c>
      <c r="F3" s="91" t="s">
        <v>400</v>
      </c>
      <c r="G3" s="84" t="s">
        <v>130</v>
      </c>
      <c r="H3" s="90"/>
      <c r="I3" s="90"/>
      <c r="J3" s="374" t="s">
        <v>101</v>
      </c>
      <c r="K3" s="374"/>
      <c r="L3" s="84" t="s">
        <v>402</v>
      </c>
      <c r="M3" s="84" t="s">
        <v>129</v>
      </c>
      <c r="N3" s="84"/>
      <c r="O3" s="84" t="s">
        <v>101</v>
      </c>
      <c r="P3" s="90"/>
      <c r="Q3" s="374" t="s">
        <v>130</v>
      </c>
      <c r="R3" s="374" t="s">
        <v>130</v>
      </c>
      <c r="S3" s="374" t="s">
        <v>101</v>
      </c>
      <c r="T3" s="374" t="s">
        <v>101</v>
      </c>
      <c r="U3" s="84" t="s">
        <v>128</v>
      </c>
      <c r="V3" s="84" t="s">
        <v>59</v>
      </c>
      <c r="W3" s="374" t="s">
        <v>131</v>
      </c>
      <c r="X3" s="374" t="s">
        <v>131</v>
      </c>
      <c r="Y3" s="84" t="s">
        <v>133</v>
      </c>
      <c r="Z3" s="84" t="s">
        <v>132</v>
      </c>
      <c r="AA3" s="84" t="s">
        <v>135</v>
      </c>
      <c r="AB3" s="84" t="s">
        <v>403</v>
      </c>
      <c r="AC3" s="84" t="s">
        <v>59</v>
      </c>
      <c r="AD3" s="84" t="s">
        <v>139</v>
      </c>
      <c r="AE3" s="84" t="s">
        <v>402</v>
      </c>
      <c r="AF3" s="84" t="s">
        <v>136</v>
      </c>
      <c r="AG3" s="84" t="s">
        <v>101</v>
      </c>
      <c r="AH3" s="374" t="s">
        <v>144</v>
      </c>
      <c r="AI3" s="374" t="s">
        <v>144</v>
      </c>
      <c r="AJ3" s="84" t="s">
        <v>137</v>
      </c>
      <c r="AK3" s="84"/>
      <c r="AL3" s="84" t="s">
        <v>101</v>
      </c>
      <c r="AM3" s="84" t="s">
        <v>141</v>
      </c>
      <c r="AN3" s="374" t="s">
        <v>404</v>
      </c>
      <c r="AO3" s="374" t="s">
        <v>404</v>
      </c>
      <c r="AP3" s="84"/>
      <c r="AQ3" s="84" t="s">
        <v>143</v>
      </c>
      <c r="AR3" s="84" t="s">
        <v>142</v>
      </c>
      <c r="AS3" s="84" t="s">
        <v>395</v>
      </c>
      <c r="AT3" s="84" t="s">
        <v>142</v>
      </c>
      <c r="AU3" s="84" t="s">
        <v>146</v>
      </c>
      <c r="AV3" s="84" t="s">
        <v>145</v>
      </c>
      <c r="AW3" s="84" t="s">
        <v>147</v>
      </c>
      <c r="AX3" s="84" t="s">
        <v>149</v>
      </c>
      <c r="AY3" s="84" t="s">
        <v>150</v>
      </c>
      <c r="AZ3" s="84" t="s">
        <v>151</v>
      </c>
      <c r="BA3" s="84" t="s">
        <v>103</v>
      </c>
      <c r="BB3" s="84" t="s">
        <v>152</v>
      </c>
      <c r="BC3" s="84" t="s">
        <v>153</v>
      </c>
      <c r="BD3" s="84" t="s">
        <v>154</v>
      </c>
      <c r="BE3" s="84" t="s">
        <v>421</v>
      </c>
      <c r="BF3" s="84" t="s">
        <v>155</v>
      </c>
      <c r="BG3" s="84" t="s">
        <v>156</v>
      </c>
      <c r="BH3" s="84" t="s">
        <v>157</v>
      </c>
      <c r="BI3" s="84" t="s">
        <v>158</v>
      </c>
      <c r="BK3" s="84" t="s">
        <v>159</v>
      </c>
      <c r="BL3" s="84"/>
      <c r="BM3" s="84" t="s">
        <v>160</v>
      </c>
      <c r="BN3" s="84" t="s">
        <v>160</v>
      </c>
    </row>
    <row r="4" spans="1:66" s="88" customFormat="1" ht="15" customHeight="1">
      <c r="A4" s="37"/>
      <c r="B4" s="101"/>
      <c r="C4" s="376" t="s">
        <v>375</v>
      </c>
      <c r="D4" s="376"/>
      <c r="E4" s="376"/>
      <c r="F4" s="376"/>
      <c r="G4" s="87" t="s">
        <v>161</v>
      </c>
      <c r="H4" s="87" t="s">
        <v>166</v>
      </c>
      <c r="I4" s="87" t="s">
        <v>167</v>
      </c>
      <c r="J4" s="377" t="s">
        <v>170</v>
      </c>
      <c r="K4" s="377"/>
      <c r="L4" s="87" t="s">
        <v>171</v>
      </c>
      <c r="M4" s="87" t="s">
        <v>172</v>
      </c>
      <c r="N4" s="87" t="s">
        <v>173</v>
      </c>
      <c r="O4" s="87" t="s">
        <v>174</v>
      </c>
      <c r="P4" s="87" t="s">
        <v>175</v>
      </c>
      <c r="Q4" s="377" t="s">
        <v>176</v>
      </c>
      <c r="R4" s="377"/>
      <c r="S4" s="377" t="s">
        <v>177</v>
      </c>
      <c r="T4" s="377" t="s">
        <v>176</v>
      </c>
      <c r="U4" s="87" t="s">
        <v>178</v>
      </c>
      <c r="V4" s="87" t="s">
        <v>179</v>
      </c>
      <c r="W4" s="377" t="s">
        <v>180</v>
      </c>
      <c r="X4" s="374" t="s">
        <v>179</v>
      </c>
      <c r="Y4" s="87" t="s">
        <v>181</v>
      </c>
      <c r="Z4" s="87" t="s">
        <v>182</v>
      </c>
      <c r="AA4" s="87" t="s">
        <v>183</v>
      </c>
      <c r="AB4" s="87" t="s">
        <v>184</v>
      </c>
      <c r="AC4" s="87" t="s">
        <v>185</v>
      </c>
      <c r="AD4" s="87" t="s">
        <v>186</v>
      </c>
      <c r="AE4" s="87" t="s">
        <v>187</v>
      </c>
      <c r="AF4" s="87" t="s">
        <v>517</v>
      </c>
      <c r="AG4" s="87" t="s">
        <v>188</v>
      </c>
      <c r="AH4" s="378" t="s">
        <v>189</v>
      </c>
      <c r="AI4" s="378" t="s">
        <v>192</v>
      </c>
      <c r="AJ4" s="87" t="s">
        <v>190</v>
      </c>
      <c r="AK4" s="87" t="s">
        <v>191</v>
      </c>
      <c r="AL4" s="87" t="s">
        <v>192</v>
      </c>
      <c r="AM4" s="87" t="s">
        <v>193</v>
      </c>
      <c r="AN4" s="378" t="s">
        <v>194</v>
      </c>
      <c r="AO4" s="379"/>
      <c r="AP4" s="87" t="s">
        <v>195</v>
      </c>
      <c r="AQ4" s="87" t="s">
        <v>196</v>
      </c>
      <c r="AR4" s="87" t="s">
        <v>199</v>
      </c>
      <c r="AS4" s="87" t="s">
        <v>200</v>
      </c>
      <c r="AT4" s="87" t="s">
        <v>201</v>
      </c>
      <c r="AU4" s="87" t="s">
        <v>202</v>
      </c>
      <c r="AV4" s="87" t="s">
        <v>203</v>
      </c>
      <c r="AW4" s="87" t="s">
        <v>205</v>
      </c>
      <c r="AX4" s="87" t="s">
        <v>206</v>
      </c>
      <c r="AY4" s="87" t="s">
        <v>207</v>
      </c>
      <c r="AZ4" s="87" t="s">
        <v>208</v>
      </c>
      <c r="BA4" s="87" t="s">
        <v>209</v>
      </c>
      <c r="BB4" s="87" t="s">
        <v>210</v>
      </c>
      <c r="BC4" s="87" t="s">
        <v>211</v>
      </c>
      <c r="BD4" s="87" t="s">
        <v>212</v>
      </c>
      <c r="BE4" s="87" t="s">
        <v>213</v>
      </c>
      <c r="BF4" s="87" t="s">
        <v>214</v>
      </c>
      <c r="BG4" s="87" t="s">
        <v>215</v>
      </c>
      <c r="BH4" s="87" t="s">
        <v>216</v>
      </c>
      <c r="BI4" s="87" t="s">
        <v>217</v>
      </c>
      <c r="BK4" s="84"/>
      <c r="BL4" s="84"/>
      <c r="BM4" s="84"/>
      <c r="BN4" s="84"/>
    </row>
    <row r="5" spans="1:66" s="324" customFormat="1" ht="15" customHeight="1">
      <c r="A5" s="321"/>
      <c r="B5" s="322"/>
      <c r="C5" s="321" t="s">
        <v>162</v>
      </c>
      <c r="D5" s="321" t="s">
        <v>163</v>
      </c>
      <c r="E5" s="321" t="s">
        <v>126</v>
      </c>
      <c r="F5" s="321" t="s">
        <v>127</v>
      </c>
      <c r="G5" s="321"/>
      <c r="H5" s="321"/>
      <c r="I5" s="321"/>
      <c r="J5" s="321" t="s">
        <v>168</v>
      </c>
      <c r="K5" s="321" t="s">
        <v>169</v>
      </c>
      <c r="L5" s="321"/>
      <c r="M5" s="321"/>
      <c r="N5" s="321"/>
      <c r="O5" s="321"/>
      <c r="P5" s="321"/>
      <c r="Q5" s="321" t="s">
        <v>62</v>
      </c>
      <c r="R5" s="321" t="s">
        <v>168</v>
      </c>
      <c r="S5" s="321" t="s">
        <v>168</v>
      </c>
      <c r="T5" s="321" t="s">
        <v>63</v>
      </c>
      <c r="U5" s="321" t="s">
        <v>364</v>
      </c>
      <c r="V5" s="321"/>
      <c r="W5" s="321" t="s">
        <v>364</v>
      </c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 t="s">
        <v>163</v>
      </c>
      <c r="AI5" s="321" t="s">
        <v>204</v>
      </c>
      <c r="AJ5" s="321"/>
      <c r="AK5" s="321"/>
      <c r="AL5" s="321"/>
      <c r="AM5" s="321"/>
      <c r="AN5" s="321" t="s">
        <v>197</v>
      </c>
      <c r="AO5" s="321" t="s">
        <v>198</v>
      </c>
      <c r="AP5" s="321"/>
      <c r="AQ5" s="321"/>
      <c r="AR5" s="321"/>
      <c r="AS5" s="323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K5" s="45" t="s">
        <v>522</v>
      </c>
      <c r="BL5" s="45"/>
      <c r="BM5" s="45" t="s">
        <v>558</v>
      </c>
      <c r="BN5" s="45" t="s">
        <v>559</v>
      </c>
    </row>
    <row r="6" spans="1:66" s="324" customFormat="1" ht="15" customHeight="1">
      <c r="A6" s="325"/>
      <c r="B6" s="326"/>
      <c r="C6" s="323"/>
      <c r="D6" s="323"/>
      <c r="E6" s="321" t="s">
        <v>164</v>
      </c>
      <c r="F6" s="321" t="s">
        <v>165</v>
      </c>
      <c r="G6" s="321"/>
      <c r="H6" s="321"/>
      <c r="I6" s="321"/>
      <c r="J6" s="321"/>
      <c r="K6" s="321" t="s">
        <v>165</v>
      </c>
      <c r="L6" s="321"/>
      <c r="M6" s="321"/>
      <c r="N6" s="321"/>
      <c r="O6" s="321"/>
      <c r="P6" s="321"/>
      <c r="Q6" s="321" t="s">
        <v>165</v>
      </c>
      <c r="R6" s="321"/>
      <c r="S6" s="321"/>
      <c r="T6" s="321" t="s">
        <v>165</v>
      </c>
      <c r="U6" s="321" t="s">
        <v>165</v>
      </c>
      <c r="V6" s="321"/>
      <c r="W6" s="321" t="s">
        <v>416</v>
      </c>
      <c r="X6" s="321" t="s">
        <v>417</v>
      </c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K6" s="323"/>
      <c r="BL6" s="323"/>
      <c r="BM6" s="323"/>
      <c r="BN6" s="323"/>
    </row>
    <row r="7" spans="1:66" ht="12.75">
      <c r="A7" s="30" t="s">
        <v>464</v>
      </c>
      <c r="B7" s="101">
        <v>1</v>
      </c>
      <c r="C7" s="82">
        <f aca="true" t="shared" si="0" ref="C7:L7">+C62</f>
        <v>0.10531292676297466</v>
      </c>
      <c r="D7" s="82">
        <f t="shared" si="0"/>
        <v>0.11058831894883259</v>
      </c>
      <c r="E7" s="82">
        <f t="shared" si="0"/>
        <v>0.03604406507300473</v>
      </c>
      <c r="F7" s="82">
        <f t="shared" si="0"/>
        <v>0.0075775174491798936</v>
      </c>
      <c r="G7" s="82">
        <f t="shared" si="0"/>
        <v>0.12035773674489181</v>
      </c>
      <c r="H7" s="82">
        <f t="shared" si="0"/>
        <v>0.1392201417773371</v>
      </c>
      <c r="I7" s="82">
        <f>+I62</f>
        <v>0.15088934608813687</v>
      </c>
      <c r="J7" s="106">
        <f t="shared" si="0"/>
        <v>0.0718929919125999</v>
      </c>
      <c r="K7" s="106">
        <f t="shared" si="0"/>
        <v>0.07178112710101558</v>
      </c>
      <c r="L7" s="106">
        <f t="shared" si="0"/>
        <v>0.08819891311226535</v>
      </c>
      <c r="M7" s="82">
        <f>+M62</f>
        <v>0.09825163873828435</v>
      </c>
      <c r="N7" s="245">
        <v>0.13</v>
      </c>
      <c r="O7" s="82">
        <f>+O62</f>
        <v>0.16398724114510999</v>
      </c>
      <c r="P7" s="82">
        <f>+P62</f>
        <v>0.09793289846716169</v>
      </c>
      <c r="Q7" s="82">
        <f>+Q62</f>
        <v>0.09350426220735297</v>
      </c>
      <c r="R7" s="82">
        <f>+R62</f>
        <v>0.09114763897180778</v>
      </c>
      <c r="S7" s="106">
        <f aca="true" t="shared" si="1" ref="S7:X7">+S62</f>
        <v>0.1235732073780953</v>
      </c>
      <c r="T7" s="106">
        <f t="shared" si="1"/>
        <v>0.11604800299132578</v>
      </c>
      <c r="U7" s="82">
        <f t="shared" si="1"/>
        <v>0.11196918515812371</v>
      </c>
      <c r="V7" s="82">
        <f t="shared" si="1"/>
        <v>0.12946670283312067</v>
      </c>
      <c r="W7" s="82">
        <f t="shared" si="1"/>
        <v>0.1272032108770873</v>
      </c>
      <c r="X7" s="106">
        <f t="shared" si="1"/>
        <v>0.09991872148443859</v>
      </c>
      <c r="Y7" s="106">
        <f aca="true" t="shared" si="2" ref="Y7:AF7">+Y62</f>
        <v>0.09695652060414717</v>
      </c>
      <c r="Z7" s="82">
        <f t="shared" si="2"/>
        <v>0.10289188409048</v>
      </c>
      <c r="AA7" s="82">
        <f t="shared" si="2"/>
        <v>0.11841779000069752</v>
      </c>
      <c r="AB7" s="82">
        <f t="shared" si="2"/>
        <v>0.09210013233213399</v>
      </c>
      <c r="AC7" s="82">
        <f t="shared" si="2"/>
        <v>0.10517128520856911</v>
      </c>
      <c r="AD7" s="82">
        <f t="shared" si="2"/>
        <v>0.10554072290241434</v>
      </c>
      <c r="AE7" s="82">
        <f t="shared" si="2"/>
        <v>0.10458913385805313</v>
      </c>
      <c r="AF7" s="82">
        <f t="shared" si="2"/>
        <v>0.10264583388808268</v>
      </c>
      <c r="AG7" s="311">
        <v>0.1003</v>
      </c>
      <c r="AH7" s="82">
        <f>+AH62</f>
        <v>0.09254771313144317</v>
      </c>
      <c r="AI7" s="82">
        <f>+AI62</f>
        <v>0.10170894126097374</v>
      </c>
      <c r="AJ7" s="82">
        <f>+AJ62</f>
        <v>0.1102423302850537</v>
      </c>
      <c r="AK7" s="82">
        <f>+AK62</f>
        <v>0.11199165368979891</v>
      </c>
      <c r="AL7" s="311">
        <v>0.1246</v>
      </c>
      <c r="AM7" s="82">
        <f aca="true" t="shared" si="3" ref="AM7:BI7">+AM62</f>
        <v>0.09265140587353193</v>
      </c>
      <c r="AN7" s="106">
        <f t="shared" si="3"/>
        <v>0.07362609374744955</v>
      </c>
      <c r="AO7" s="106">
        <f t="shared" si="3"/>
        <v>0.031021116175150576</v>
      </c>
      <c r="AP7" s="82">
        <f t="shared" si="3"/>
        <v>0.06741005675617573</v>
      </c>
      <c r="AQ7" s="82">
        <f>+AQ62</f>
        <v>0.09024796698998894</v>
      </c>
      <c r="AR7" s="82">
        <f t="shared" si="3"/>
        <v>0.08625500547008214</v>
      </c>
      <c r="AS7" s="82">
        <f t="shared" si="3"/>
        <v>0.1056472935213364</v>
      </c>
      <c r="AT7" s="82">
        <f>+AT62</f>
        <v>0.12659442214324446</v>
      </c>
      <c r="AU7" s="106">
        <f>+AU62</f>
        <v>0.08305671283479188</v>
      </c>
      <c r="AV7" s="82">
        <f t="shared" si="3"/>
        <v>0.06536355789244142</v>
      </c>
      <c r="AW7" s="106">
        <f t="shared" si="3"/>
        <v>0.11828212518334213</v>
      </c>
      <c r="AX7" s="82">
        <f t="shared" si="3"/>
        <v>0.08434727027283295</v>
      </c>
      <c r="AY7" s="82">
        <f t="shared" si="3"/>
        <v>0.13470068501687837</v>
      </c>
      <c r="AZ7" s="106">
        <f t="shared" si="3"/>
        <v>0.08911251689733457</v>
      </c>
      <c r="BA7" s="106">
        <f t="shared" si="3"/>
        <v>0.07013248818558782</v>
      </c>
      <c r="BB7" s="106">
        <f t="shared" si="3"/>
        <v>0.08396763971044807</v>
      </c>
      <c r="BC7" s="106">
        <f t="shared" si="3"/>
        <v>0.09131140386958725</v>
      </c>
      <c r="BD7" s="106">
        <f t="shared" si="3"/>
        <v>0.07568693889877798</v>
      </c>
      <c r="BE7" s="82">
        <f t="shared" si="3"/>
        <v>0.051632747650181</v>
      </c>
      <c r="BF7" s="82">
        <f t="shared" si="3"/>
        <v>0.04522818872163925</v>
      </c>
      <c r="BG7" s="106">
        <f t="shared" si="3"/>
        <v>0.010278420510414055</v>
      </c>
      <c r="BH7" s="106">
        <f t="shared" si="3"/>
        <v>-0.03860466754193237</v>
      </c>
      <c r="BI7" s="106">
        <f t="shared" si="3"/>
        <v>0.023034521915963335</v>
      </c>
      <c r="BK7" s="65">
        <f>+BK62</f>
        <v>0.1110519790430875</v>
      </c>
      <c r="BL7" s="65"/>
      <c r="BM7" s="65">
        <f>+BM62</f>
        <v>0.10527409018324141</v>
      </c>
      <c r="BN7" s="65">
        <f>+BN62</f>
        <v>0.11235460282181431</v>
      </c>
    </row>
    <row r="8" spans="1:66" ht="12.75">
      <c r="A8" s="33" t="s">
        <v>494</v>
      </c>
      <c r="B8" s="101">
        <v>2</v>
      </c>
      <c r="C8" s="49">
        <v>0.03942559630010223</v>
      </c>
      <c r="D8" s="83">
        <v>0.0331</v>
      </c>
      <c r="E8" s="313">
        <v>0.0524</v>
      </c>
      <c r="F8" s="83">
        <v>0.0337</v>
      </c>
      <c r="G8" s="49">
        <v>0.041</v>
      </c>
      <c r="H8" s="49">
        <v>0.0459</v>
      </c>
      <c r="I8" s="49">
        <v>0.0492</v>
      </c>
      <c r="J8" s="49">
        <v>0.018</v>
      </c>
      <c r="K8" s="49">
        <v>0.018</v>
      </c>
      <c r="L8" s="49">
        <v>0.0352</v>
      </c>
      <c r="M8" s="49">
        <v>0.038</v>
      </c>
      <c r="N8" s="49">
        <v>0.019</v>
      </c>
      <c r="O8" s="243" t="s">
        <v>554</v>
      </c>
      <c r="P8" s="49">
        <v>0.028</v>
      </c>
      <c r="Q8" s="247">
        <v>0.025</v>
      </c>
      <c r="R8" s="49">
        <v>0.0279</v>
      </c>
      <c r="S8" s="375">
        <v>0.056</v>
      </c>
      <c r="T8" s="375"/>
      <c r="U8" s="49">
        <v>-0.0155</v>
      </c>
      <c r="V8" s="49">
        <v>0.033</v>
      </c>
      <c r="W8" s="197">
        <v>0.0187</v>
      </c>
      <c r="X8" s="366" t="s">
        <v>569</v>
      </c>
      <c r="Y8" s="47">
        <v>0.0082</v>
      </c>
      <c r="Z8" s="49">
        <v>0.0094</v>
      </c>
      <c r="AA8" s="247">
        <v>0.035</v>
      </c>
      <c r="AB8" s="49">
        <v>0.0388</v>
      </c>
      <c r="AC8" s="185">
        <v>0.01850809819769994</v>
      </c>
      <c r="AD8" s="49">
        <v>0.037</v>
      </c>
      <c r="AE8" s="49">
        <v>0.0416</v>
      </c>
      <c r="AF8" s="49">
        <v>0.0413</v>
      </c>
      <c r="AG8" s="47">
        <v>0.0186</v>
      </c>
      <c r="AH8" s="47">
        <v>-0.0192</v>
      </c>
      <c r="AI8" s="47">
        <v>0.0239</v>
      </c>
      <c r="AJ8" s="49">
        <v>0.0547</v>
      </c>
      <c r="AK8" s="49">
        <v>0.0207</v>
      </c>
      <c r="AL8" s="47">
        <v>-0.0035</v>
      </c>
      <c r="AM8" s="81">
        <v>1.62</v>
      </c>
      <c r="AN8" s="47">
        <v>0.0383</v>
      </c>
      <c r="AO8" s="47">
        <v>0.02</v>
      </c>
      <c r="AP8" s="49">
        <v>0.053</v>
      </c>
      <c r="AQ8" s="49">
        <v>-0.003</v>
      </c>
      <c r="AR8" s="49">
        <v>0.0493</v>
      </c>
      <c r="AS8" s="49">
        <v>0.025</v>
      </c>
      <c r="AT8" s="247" t="s">
        <v>574</v>
      </c>
      <c r="AU8" s="49">
        <v>0.036</v>
      </c>
      <c r="AV8" s="49">
        <v>-0.0064</v>
      </c>
      <c r="AW8" s="49">
        <v>0.0563</v>
      </c>
      <c r="AX8" s="49">
        <v>0.0373</v>
      </c>
      <c r="AY8" s="49">
        <v>0.047</v>
      </c>
      <c r="AZ8" s="49">
        <v>0.058</v>
      </c>
      <c r="BA8" s="49">
        <v>0.014</v>
      </c>
      <c r="BB8" s="49">
        <v>0.015</v>
      </c>
      <c r="BC8" s="49">
        <v>0.049</v>
      </c>
      <c r="BD8" s="49">
        <v>0.0687</v>
      </c>
      <c r="BE8" s="49">
        <v>0.044</v>
      </c>
      <c r="BF8" s="49">
        <v>0.031</v>
      </c>
      <c r="BG8" s="49">
        <v>0.02</v>
      </c>
      <c r="BH8" s="47">
        <v>0.0149</v>
      </c>
      <c r="BI8" s="47"/>
      <c r="BK8" s="49"/>
      <c r="BL8" s="49"/>
      <c r="BM8" s="16"/>
      <c r="BN8" s="16"/>
    </row>
    <row r="9" spans="1:66" ht="20.25" customHeight="1">
      <c r="A9" s="102" t="s">
        <v>219</v>
      </c>
      <c r="B9" s="314"/>
      <c r="C9" s="51">
        <v>28.7</v>
      </c>
      <c r="D9" s="51">
        <v>37.4</v>
      </c>
      <c r="E9" s="51">
        <v>0</v>
      </c>
      <c r="F9" s="51">
        <v>0</v>
      </c>
      <c r="G9" s="51">
        <v>36.7</v>
      </c>
      <c r="H9" s="51">
        <v>36.04</v>
      </c>
      <c r="I9" s="51">
        <v>34.1</v>
      </c>
      <c r="J9" s="51">
        <v>26.8</v>
      </c>
      <c r="K9" s="51">
        <v>26.9</v>
      </c>
      <c r="L9" s="51">
        <v>35</v>
      </c>
      <c r="M9" s="51">
        <v>26.15</v>
      </c>
      <c r="N9" s="52">
        <v>86.4</v>
      </c>
      <c r="O9" s="52">
        <v>49.6</v>
      </c>
      <c r="P9" s="51">
        <v>24.2</v>
      </c>
      <c r="Q9" s="52">
        <v>57.3</v>
      </c>
      <c r="R9" s="52">
        <v>49.1</v>
      </c>
      <c r="S9" s="51">
        <v>25.2</v>
      </c>
      <c r="T9" s="51">
        <v>25.2</v>
      </c>
      <c r="U9" s="51">
        <v>61.3</v>
      </c>
      <c r="V9" s="51">
        <v>69.5</v>
      </c>
      <c r="W9" s="51">
        <v>43.6</v>
      </c>
      <c r="X9" s="51">
        <v>41.9</v>
      </c>
      <c r="Y9" s="52">
        <v>29.44</v>
      </c>
      <c r="Z9" s="52">
        <v>64.4</v>
      </c>
      <c r="AA9" s="51">
        <v>36.1</v>
      </c>
      <c r="AB9" s="51">
        <v>40.17</v>
      </c>
      <c r="AC9" s="51">
        <v>67.2</v>
      </c>
      <c r="AD9" s="51">
        <v>16.4</v>
      </c>
      <c r="AE9" s="51">
        <v>24.29</v>
      </c>
      <c r="AF9" s="51">
        <v>64.01</v>
      </c>
      <c r="AG9" s="52">
        <v>100</v>
      </c>
      <c r="AH9" s="52">
        <v>44.58</v>
      </c>
      <c r="AI9" s="52">
        <v>44.58</v>
      </c>
      <c r="AJ9" s="51">
        <v>16.55</v>
      </c>
      <c r="AK9" s="51">
        <v>58.67</v>
      </c>
      <c r="AL9" s="52">
        <v>99.7</v>
      </c>
      <c r="AM9" s="81">
        <v>89.8</v>
      </c>
      <c r="AN9" s="51">
        <v>30.5</v>
      </c>
      <c r="AO9" s="51">
        <v>8.17</v>
      </c>
      <c r="AP9" s="51">
        <v>23.3</v>
      </c>
      <c r="AQ9" s="51">
        <v>45.3</v>
      </c>
      <c r="AR9" s="51">
        <v>66.56</v>
      </c>
      <c r="AS9" s="51">
        <v>62.3</v>
      </c>
      <c r="AT9" s="51">
        <v>100</v>
      </c>
      <c r="AU9" s="51">
        <v>18.2</v>
      </c>
      <c r="AV9" s="51">
        <v>1.19</v>
      </c>
      <c r="AW9" s="51">
        <v>87.15</v>
      </c>
      <c r="AX9" s="51">
        <v>40.5</v>
      </c>
      <c r="AY9" s="51">
        <v>67.57</v>
      </c>
      <c r="AZ9" s="51">
        <v>64.9</v>
      </c>
      <c r="BA9" s="51">
        <v>0.6</v>
      </c>
      <c r="BB9" s="51">
        <v>51.2</v>
      </c>
      <c r="BC9" s="51">
        <v>89.5</v>
      </c>
      <c r="BD9" s="51">
        <v>0</v>
      </c>
      <c r="BE9" s="51">
        <v>35.4</v>
      </c>
      <c r="BF9" s="51">
        <v>35.2</v>
      </c>
      <c r="BG9" s="51">
        <v>0</v>
      </c>
      <c r="BH9" s="52">
        <v>0</v>
      </c>
      <c r="BI9" s="52"/>
      <c r="BK9" s="65">
        <f aca="true" t="shared" si="4" ref="BK9:BK14">+BK78/$BK$84</f>
        <v>0.37360225225822136</v>
      </c>
      <c r="BL9" s="62"/>
      <c r="BM9" s="65">
        <f aca="true" t="shared" si="5" ref="BM9:BM14">+BM78/$BM$84</f>
        <v>0.3124782827676388</v>
      </c>
      <c r="BN9" s="65">
        <f aca="true" t="shared" si="6" ref="BN9:BN14">+BN78/$BN$84</f>
        <v>0.3872514250321275</v>
      </c>
    </row>
    <row r="10" spans="1:66" ht="12.75">
      <c r="A10" s="33" t="s">
        <v>220</v>
      </c>
      <c r="B10" s="101"/>
      <c r="C10" s="51">
        <v>49.7</v>
      </c>
      <c r="D10" s="51">
        <v>34.8</v>
      </c>
      <c r="E10" s="51">
        <v>0</v>
      </c>
      <c r="F10" s="51">
        <v>0</v>
      </c>
      <c r="G10" s="51">
        <v>35.8</v>
      </c>
      <c r="H10" s="51">
        <v>42.48</v>
      </c>
      <c r="I10" s="51">
        <v>51.7</v>
      </c>
      <c r="J10" s="51">
        <v>45</v>
      </c>
      <c r="K10" s="51">
        <v>45</v>
      </c>
      <c r="L10" s="51">
        <v>50</v>
      </c>
      <c r="M10" s="51">
        <v>67.4</v>
      </c>
      <c r="N10" s="52">
        <v>4.9</v>
      </c>
      <c r="O10" s="52">
        <v>40.5</v>
      </c>
      <c r="P10" s="51">
        <v>38.9</v>
      </c>
      <c r="Q10" s="52">
        <v>23.5</v>
      </c>
      <c r="R10" s="52">
        <v>24.2</v>
      </c>
      <c r="S10" s="51">
        <v>46.5</v>
      </c>
      <c r="T10" s="51">
        <v>46.5</v>
      </c>
      <c r="U10" s="51">
        <v>17.4</v>
      </c>
      <c r="V10" s="51">
        <v>9.7</v>
      </c>
      <c r="W10" s="51">
        <v>45</v>
      </c>
      <c r="X10" s="51">
        <v>54.5</v>
      </c>
      <c r="Y10" s="52">
        <v>29.04</v>
      </c>
      <c r="Z10" s="52">
        <v>12</v>
      </c>
      <c r="AA10" s="51">
        <v>44.4</v>
      </c>
      <c r="AB10" s="51">
        <v>46.15</v>
      </c>
      <c r="AC10" s="51">
        <v>13.2</v>
      </c>
      <c r="AD10" s="51">
        <v>16</v>
      </c>
      <c r="AE10" s="51">
        <v>63.88</v>
      </c>
      <c r="AF10" s="51">
        <v>18.1</v>
      </c>
      <c r="AG10" s="52">
        <v>0</v>
      </c>
      <c r="AH10" s="52">
        <v>28.37</v>
      </c>
      <c r="AI10" s="52">
        <v>28.37</v>
      </c>
      <c r="AJ10" s="51">
        <v>53.87</v>
      </c>
      <c r="AK10" s="51">
        <v>22.51</v>
      </c>
      <c r="AL10" s="52">
        <v>0</v>
      </c>
      <c r="AM10" s="81">
        <v>4</v>
      </c>
      <c r="AN10" s="51">
        <v>58.97</v>
      </c>
      <c r="AO10" s="51">
        <v>51.77</v>
      </c>
      <c r="AP10" s="51">
        <v>9.9</v>
      </c>
      <c r="AQ10" s="51">
        <v>16.99</v>
      </c>
      <c r="AR10" s="51">
        <v>29.63</v>
      </c>
      <c r="AS10" s="51">
        <v>4.8</v>
      </c>
      <c r="AT10" s="51">
        <v>0</v>
      </c>
      <c r="AU10" s="51">
        <v>49.2</v>
      </c>
      <c r="AV10" s="51">
        <v>49.29</v>
      </c>
      <c r="AW10" s="51">
        <v>9.94</v>
      </c>
      <c r="AX10" s="51">
        <v>44</v>
      </c>
      <c r="AY10" s="51">
        <v>11.1</v>
      </c>
      <c r="AZ10" s="51">
        <v>25.3</v>
      </c>
      <c r="BA10" s="51">
        <v>18.4</v>
      </c>
      <c r="BB10" s="51">
        <v>18.3</v>
      </c>
      <c r="BC10" s="51">
        <v>9.9</v>
      </c>
      <c r="BD10" s="51">
        <v>91.9</v>
      </c>
      <c r="BE10" s="51">
        <v>35.8</v>
      </c>
      <c r="BF10" s="51">
        <v>40.2</v>
      </c>
      <c r="BG10" s="51">
        <v>0</v>
      </c>
      <c r="BH10" s="52">
        <v>0</v>
      </c>
      <c r="BI10" s="52"/>
      <c r="BK10" s="65">
        <f t="shared" si="4"/>
        <v>0.40119838019865145</v>
      </c>
      <c r="BL10" s="62"/>
      <c r="BM10" s="65">
        <f t="shared" si="5"/>
        <v>0.46148840218147413</v>
      </c>
      <c r="BN10" s="65">
        <f t="shared" si="6"/>
        <v>0.387735430500777</v>
      </c>
    </row>
    <row r="11" spans="1:66" ht="12.75">
      <c r="A11" s="33" t="s">
        <v>221</v>
      </c>
      <c r="B11" s="101"/>
      <c r="C11" s="51">
        <v>0</v>
      </c>
      <c r="D11" s="51">
        <v>0.1</v>
      </c>
      <c r="E11" s="51">
        <v>0</v>
      </c>
      <c r="F11" s="51">
        <v>0</v>
      </c>
      <c r="G11" s="51">
        <v>0</v>
      </c>
      <c r="H11" s="51">
        <v>0.42</v>
      </c>
      <c r="I11" s="51">
        <v>0.1</v>
      </c>
      <c r="J11" s="51">
        <v>0.2</v>
      </c>
      <c r="K11" s="51">
        <v>0.2</v>
      </c>
      <c r="L11" s="51">
        <v>2</v>
      </c>
      <c r="M11" s="51">
        <v>0.01</v>
      </c>
      <c r="N11" s="52">
        <v>0</v>
      </c>
      <c r="O11" s="52">
        <v>1</v>
      </c>
      <c r="P11" s="51">
        <v>0.3</v>
      </c>
      <c r="Q11" s="52">
        <v>0</v>
      </c>
      <c r="R11" s="52">
        <v>0</v>
      </c>
      <c r="S11" s="51">
        <v>2.4</v>
      </c>
      <c r="T11" s="51">
        <v>2.4</v>
      </c>
      <c r="U11" s="51">
        <v>0.9</v>
      </c>
      <c r="V11" s="51">
        <v>0.5</v>
      </c>
      <c r="W11" s="51">
        <v>0.9</v>
      </c>
      <c r="X11" s="51">
        <v>0</v>
      </c>
      <c r="Y11" s="52">
        <v>0.17</v>
      </c>
      <c r="Z11" s="52">
        <v>3</v>
      </c>
      <c r="AA11" s="51">
        <v>0</v>
      </c>
      <c r="AB11" s="51">
        <v>0.27</v>
      </c>
      <c r="AC11" s="51">
        <v>0.7</v>
      </c>
      <c r="AD11" s="51">
        <v>0.8</v>
      </c>
      <c r="AE11" s="51">
        <v>0.52</v>
      </c>
      <c r="AF11" s="51">
        <v>0</v>
      </c>
      <c r="AG11" s="52">
        <v>0</v>
      </c>
      <c r="AH11" s="52">
        <v>2.97</v>
      </c>
      <c r="AI11" s="52">
        <v>2.97</v>
      </c>
      <c r="AJ11" s="51">
        <v>0.15</v>
      </c>
      <c r="AK11" s="51">
        <v>1.29</v>
      </c>
      <c r="AL11" s="52">
        <v>0.3</v>
      </c>
      <c r="AM11" s="81">
        <v>0</v>
      </c>
      <c r="AN11" s="51">
        <v>0</v>
      </c>
      <c r="AO11" s="51">
        <v>0</v>
      </c>
      <c r="AP11" s="51">
        <v>0.7</v>
      </c>
      <c r="AQ11" s="51">
        <v>2.05</v>
      </c>
      <c r="AR11" s="51">
        <v>0</v>
      </c>
      <c r="AS11" s="51">
        <v>2.8</v>
      </c>
      <c r="AT11" s="51">
        <v>0</v>
      </c>
      <c r="AU11" s="51">
        <v>0.2</v>
      </c>
      <c r="AV11" s="51">
        <v>0.91</v>
      </c>
      <c r="AW11" s="51">
        <v>0.01</v>
      </c>
      <c r="AX11" s="51">
        <v>0</v>
      </c>
      <c r="AY11" s="51">
        <v>0</v>
      </c>
      <c r="AZ11" s="51">
        <v>0</v>
      </c>
      <c r="BA11" s="51">
        <v>1.8</v>
      </c>
      <c r="BB11" s="51">
        <v>1.8</v>
      </c>
      <c r="BC11" s="51">
        <v>0</v>
      </c>
      <c r="BD11" s="51">
        <v>0</v>
      </c>
      <c r="BE11" s="51">
        <v>0</v>
      </c>
      <c r="BF11" s="51">
        <v>0.8</v>
      </c>
      <c r="BG11" s="51">
        <v>0</v>
      </c>
      <c r="BH11" s="52">
        <v>51.28</v>
      </c>
      <c r="BI11" s="52"/>
      <c r="BK11" s="65">
        <f t="shared" si="4"/>
        <v>0.0041337788154211085</v>
      </c>
      <c r="BL11" s="62"/>
      <c r="BM11" s="65">
        <f t="shared" si="5"/>
        <v>0.0007009392757876384</v>
      </c>
      <c r="BN11" s="65">
        <f t="shared" si="6"/>
        <v>0.004900342577101752</v>
      </c>
    </row>
    <row r="12" spans="1:66" ht="12.75">
      <c r="A12" s="33" t="s">
        <v>222</v>
      </c>
      <c r="B12" s="101"/>
      <c r="C12" s="51">
        <v>4.6</v>
      </c>
      <c r="D12" s="51">
        <v>5.9</v>
      </c>
      <c r="E12" s="51">
        <v>0</v>
      </c>
      <c r="F12" s="51">
        <v>0</v>
      </c>
      <c r="G12" s="51">
        <v>8.8</v>
      </c>
      <c r="H12" s="51">
        <v>5.88</v>
      </c>
      <c r="I12" s="51">
        <v>6.6</v>
      </c>
      <c r="J12" s="51">
        <v>4.6</v>
      </c>
      <c r="K12" s="51">
        <v>4.5</v>
      </c>
      <c r="L12" s="51">
        <v>3</v>
      </c>
      <c r="M12" s="51">
        <v>2.1</v>
      </c>
      <c r="N12" s="52">
        <v>2.7</v>
      </c>
      <c r="O12" s="52">
        <v>8.9</v>
      </c>
      <c r="P12" s="51">
        <v>5.9</v>
      </c>
      <c r="Q12" s="52">
        <v>11.1</v>
      </c>
      <c r="R12" s="52">
        <v>6.8</v>
      </c>
      <c r="S12" s="51">
        <v>4.7</v>
      </c>
      <c r="T12" s="51">
        <v>4.7</v>
      </c>
      <c r="U12" s="51">
        <v>6.4</v>
      </c>
      <c r="V12" s="51">
        <v>5.6</v>
      </c>
      <c r="W12" s="51">
        <v>6</v>
      </c>
      <c r="X12" s="51">
        <v>2.4</v>
      </c>
      <c r="Y12" s="52">
        <v>1.91</v>
      </c>
      <c r="Z12" s="52">
        <v>5.3</v>
      </c>
      <c r="AA12" s="51">
        <v>6.6</v>
      </c>
      <c r="AB12" s="51">
        <v>4</v>
      </c>
      <c r="AC12" s="51">
        <v>6.3</v>
      </c>
      <c r="AD12" s="51">
        <v>0.6</v>
      </c>
      <c r="AE12" s="51">
        <v>8.19</v>
      </c>
      <c r="AF12" s="51">
        <v>2.68</v>
      </c>
      <c r="AG12" s="52">
        <v>0</v>
      </c>
      <c r="AH12" s="52">
        <v>2.56</v>
      </c>
      <c r="AI12" s="52">
        <v>2.56</v>
      </c>
      <c r="AJ12" s="51">
        <v>23.05</v>
      </c>
      <c r="AK12" s="51">
        <v>5.01</v>
      </c>
      <c r="AL12" s="52">
        <v>0</v>
      </c>
      <c r="AM12" s="81">
        <v>6.2</v>
      </c>
      <c r="AN12" s="51">
        <v>5.6</v>
      </c>
      <c r="AO12" s="51">
        <v>37.3</v>
      </c>
      <c r="AP12" s="51">
        <v>66</v>
      </c>
      <c r="AQ12" s="51">
        <v>6.84</v>
      </c>
      <c r="AR12" s="51">
        <v>1.43</v>
      </c>
      <c r="AS12" s="51">
        <v>5.6</v>
      </c>
      <c r="AT12" s="51">
        <v>0</v>
      </c>
      <c r="AU12" s="51">
        <v>5.4</v>
      </c>
      <c r="AV12" s="51">
        <v>11.26</v>
      </c>
      <c r="AW12" s="51">
        <v>0.39</v>
      </c>
      <c r="AX12" s="51">
        <v>2</v>
      </c>
      <c r="AY12" s="51">
        <v>11.9</v>
      </c>
      <c r="AZ12" s="51">
        <v>9.8</v>
      </c>
      <c r="BA12" s="51">
        <v>25.4</v>
      </c>
      <c r="BB12" s="51">
        <v>7.5</v>
      </c>
      <c r="BC12" s="51">
        <v>0.6</v>
      </c>
      <c r="BD12" s="51">
        <v>0</v>
      </c>
      <c r="BE12" s="51">
        <v>14.8</v>
      </c>
      <c r="BF12" s="51">
        <v>4.3</v>
      </c>
      <c r="BG12" s="51">
        <v>31.8</v>
      </c>
      <c r="BH12" s="52">
        <v>20.66</v>
      </c>
      <c r="BI12" s="52"/>
      <c r="BK12" s="65">
        <f t="shared" si="4"/>
        <v>0.06087316671706551</v>
      </c>
      <c r="BL12" s="62"/>
      <c r="BM12" s="65">
        <f t="shared" si="5"/>
        <v>0.048639952789462516</v>
      </c>
      <c r="BN12" s="65">
        <f t="shared" si="6"/>
        <v>0.06360488149065745</v>
      </c>
    </row>
    <row r="13" spans="1:66" ht="12.75">
      <c r="A13" s="33" t="s">
        <v>223</v>
      </c>
      <c r="B13" s="101"/>
      <c r="C13" s="51">
        <v>17</v>
      </c>
      <c r="D13" s="51">
        <v>21.8</v>
      </c>
      <c r="E13" s="51">
        <v>100</v>
      </c>
      <c r="F13" s="51">
        <v>100</v>
      </c>
      <c r="G13" s="51">
        <v>18.7</v>
      </c>
      <c r="H13" s="51">
        <v>13.97</v>
      </c>
      <c r="I13" s="51">
        <v>7.5</v>
      </c>
      <c r="J13" s="51">
        <v>23.4</v>
      </c>
      <c r="K13" s="51">
        <v>23.4</v>
      </c>
      <c r="L13" s="51">
        <v>4</v>
      </c>
      <c r="M13" s="51">
        <v>4.3</v>
      </c>
      <c r="N13" s="52">
        <v>6</v>
      </c>
      <c r="O13" s="52">
        <v>0</v>
      </c>
      <c r="P13" s="51">
        <v>30.1</v>
      </c>
      <c r="Q13" s="52">
        <v>8.1</v>
      </c>
      <c r="R13" s="52">
        <v>19.9</v>
      </c>
      <c r="S13" s="51">
        <v>20</v>
      </c>
      <c r="T13" s="51">
        <v>20</v>
      </c>
      <c r="U13" s="51">
        <v>8.7</v>
      </c>
      <c r="V13" s="51">
        <v>14.7</v>
      </c>
      <c r="W13" s="51">
        <v>4.5</v>
      </c>
      <c r="X13" s="51">
        <v>1.2</v>
      </c>
      <c r="Y13" s="52">
        <v>27.32</v>
      </c>
      <c r="Z13" s="52">
        <v>10.3</v>
      </c>
      <c r="AA13" s="51">
        <v>12.9</v>
      </c>
      <c r="AB13" s="51">
        <v>0.01</v>
      </c>
      <c r="AC13" s="51">
        <v>6</v>
      </c>
      <c r="AD13" s="51">
        <v>66.2</v>
      </c>
      <c r="AE13" s="51">
        <v>0.11</v>
      </c>
      <c r="AF13" s="51">
        <v>15.22</v>
      </c>
      <c r="AG13" s="52">
        <v>0</v>
      </c>
      <c r="AH13" s="52">
        <v>17.64</v>
      </c>
      <c r="AI13" s="52">
        <v>17.64</v>
      </c>
      <c r="AJ13" s="51">
        <v>6.38</v>
      </c>
      <c r="AK13" s="51">
        <v>10.36</v>
      </c>
      <c r="AL13" s="52">
        <v>0</v>
      </c>
      <c r="AM13" s="81">
        <v>0</v>
      </c>
      <c r="AN13" s="51">
        <v>4.97</v>
      </c>
      <c r="AO13" s="51">
        <v>2.76</v>
      </c>
      <c r="AP13" s="51">
        <v>0.1</v>
      </c>
      <c r="AQ13" s="51">
        <v>2.65</v>
      </c>
      <c r="AR13" s="51">
        <v>2.13</v>
      </c>
      <c r="AS13" s="51">
        <v>24.5</v>
      </c>
      <c r="AT13" s="51">
        <v>0</v>
      </c>
      <c r="AU13" s="51">
        <v>25.5</v>
      </c>
      <c r="AV13" s="51">
        <v>6.4</v>
      </c>
      <c r="AW13" s="51">
        <v>2.51</v>
      </c>
      <c r="AX13" s="51">
        <v>11.5</v>
      </c>
      <c r="AY13" s="51">
        <v>9.43</v>
      </c>
      <c r="AZ13" s="51">
        <v>0</v>
      </c>
      <c r="BA13" s="51">
        <v>5.6</v>
      </c>
      <c r="BB13" s="51">
        <v>21.2</v>
      </c>
      <c r="BC13" s="51">
        <v>0</v>
      </c>
      <c r="BD13" s="51">
        <v>8.1</v>
      </c>
      <c r="BE13" s="51">
        <v>2.7</v>
      </c>
      <c r="BF13" s="51">
        <v>3.2</v>
      </c>
      <c r="BG13" s="51">
        <v>68.2</v>
      </c>
      <c r="BH13" s="52">
        <v>28.06</v>
      </c>
      <c r="BI13" s="52"/>
      <c r="BK13" s="65">
        <f t="shared" si="4"/>
        <v>0.14638427742203702</v>
      </c>
      <c r="BL13" s="62"/>
      <c r="BM13" s="65">
        <f t="shared" si="5"/>
        <v>0.17582439003663153</v>
      </c>
      <c r="BN13" s="65">
        <f t="shared" si="6"/>
        <v>0.1398102085762339</v>
      </c>
    </row>
    <row r="14" spans="1:66" ht="12.75">
      <c r="A14" s="33" t="s">
        <v>224</v>
      </c>
      <c r="B14" s="101"/>
      <c r="C14" s="51"/>
      <c r="D14" s="51">
        <v>0</v>
      </c>
      <c r="E14" s="51">
        <v>0</v>
      </c>
      <c r="F14" s="51">
        <v>0</v>
      </c>
      <c r="G14" s="51">
        <v>0</v>
      </c>
      <c r="H14" s="51">
        <v>1.21</v>
      </c>
      <c r="I14" s="51">
        <v>0</v>
      </c>
      <c r="J14" s="51">
        <v>0</v>
      </c>
      <c r="K14" s="51">
        <v>0</v>
      </c>
      <c r="L14" s="51">
        <v>6</v>
      </c>
      <c r="M14" s="51">
        <v>0</v>
      </c>
      <c r="N14" s="52">
        <v>0</v>
      </c>
      <c r="O14" s="52">
        <v>0</v>
      </c>
      <c r="P14" s="51">
        <v>0.6</v>
      </c>
      <c r="Q14" s="52">
        <v>0</v>
      </c>
      <c r="R14" s="52">
        <v>0</v>
      </c>
      <c r="S14" s="51">
        <v>1.2</v>
      </c>
      <c r="T14" s="51">
        <v>1.2</v>
      </c>
      <c r="U14" s="51">
        <v>5.3</v>
      </c>
      <c r="V14" s="51">
        <v>0</v>
      </c>
      <c r="W14" s="51">
        <v>0</v>
      </c>
      <c r="X14" s="51">
        <v>0</v>
      </c>
      <c r="Y14" s="52">
        <v>12.1</v>
      </c>
      <c r="Z14" s="52">
        <v>3.9</v>
      </c>
      <c r="AA14" s="51">
        <v>0</v>
      </c>
      <c r="AB14" s="51">
        <v>9.4</v>
      </c>
      <c r="AC14" s="51">
        <v>6.6</v>
      </c>
      <c r="AD14" s="51">
        <v>0</v>
      </c>
      <c r="AE14" s="51">
        <v>3.01</v>
      </c>
      <c r="AF14" s="51">
        <v>0</v>
      </c>
      <c r="AG14" s="52">
        <v>0</v>
      </c>
      <c r="AH14" s="52">
        <v>3.89</v>
      </c>
      <c r="AI14" s="52">
        <v>3.89</v>
      </c>
      <c r="AJ14" s="51">
        <v>0</v>
      </c>
      <c r="AK14" s="51">
        <v>2.16</v>
      </c>
      <c r="AL14" s="52">
        <v>0</v>
      </c>
      <c r="AM14" s="81">
        <v>0</v>
      </c>
      <c r="AN14" s="51">
        <v>0</v>
      </c>
      <c r="AO14" s="51">
        <v>0</v>
      </c>
      <c r="AP14" s="51"/>
      <c r="AQ14" s="51">
        <v>26.16</v>
      </c>
      <c r="AR14" s="51">
        <v>0.2</v>
      </c>
      <c r="AS14" s="51">
        <v>0</v>
      </c>
      <c r="AT14" s="51">
        <v>0</v>
      </c>
      <c r="AU14" s="51">
        <v>1.5</v>
      </c>
      <c r="AV14" s="51">
        <v>30.95</v>
      </c>
      <c r="AW14" s="51">
        <v>0</v>
      </c>
      <c r="AX14" s="51">
        <v>2</v>
      </c>
      <c r="AY14" s="51">
        <v>0</v>
      </c>
      <c r="AZ14" s="51">
        <v>0</v>
      </c>
      <c r="BA14" s="51">
        <v>48.2</v>
      </c>
      <c r="BB14" s="51">
        <v>0</v>
      </c>
      <c r="BC14" s="51">
        <v>0</v>
      </c>
      <c r="BD14" s="51">
        <v>0</v>
      </c>
      <c r="BE14" s="51">
        <v>11.3</v>
      </c>
      <c r="BF14" s="51">
        <v>16.3</v>
      </c>
      <c r="BG14" s="51">
        <v>0</v>
      </c>
      <c r="BH14" s="52">
        <v>0</v>
      </c>
      <c r="BI14" s="52"/>
      <c r="BK14" s="65">
        <f t="shared" si="4"/>
        <v>0.013808144588603324</v>
      </c>
      <c r="BL14" s="63"/>
      <c r="BM14" s="65">
        <f t="shared" si="5"/>
        <v>0.0008680329490053947</v>
      </c>
      <c r="BN14" s="65">
        <f t="shared" si="6"/>
        <v>0.01669771182310237</v>
      </c>
    </row>
    <row r="15" spans="1:66" s="113" customFormat="1" ht="12.75">
      <c r="A15" s="37" t="s">
        <v>465</v>
      </c>
      <c r="B15" s="101">
        <v>3</v>
      </c>
      <c r="C15" s="50">
        <f>SUM(C9:C14)</f>
        <v>100</v>
      </c>
      <c r="D15" s="50">
        <f aca="true" t="shared" si="7" ref="D15:BH15">SUM(D9:D14)</f>
        <v>99.99999999999999</v>
      </c>
      <c r="E15" s="50">
        <f t="shared" si="7"/>
        <v>100</v>
      </c>
      <c r="F15" s="50">
        <f t="shared" si="7"/>
        <v>100</v>
      </c>
      <c r="G15" s="50">
        <f t="shared" si="7"/>
        <v>100</v>
      </c>
      <c r="H15" s="50">
        <f t="shared" si="7"/>
        <v>99.99999999999999</v>
      </c>
      <c r="I15" s="50">
        <f t="shared" si="7"/>
        <v>100</v>
      </c>
      <c r="J15" s="50">
        <f t="shared" si="7"/>
        <v>100</v>
      </c>
      <c r="K15" s="50">
        <f t="shared" si="7"/>
        <v>100</v>
      </c>
      <c r="L15" s="50">
        <f t="shared" si="7"/>
        <v>100</v>
      </c>
      <c r="M15" s="50">
        <f t="shared" si="7"/>
        <v>99.96000000000001</v>
      </c>
      <c r="N15" s="31">
        <f t="shared" si="7"/>
        <v>100.00000000000001</v>
      </c>
      <c r="O15" s="50">
        <f t="shared" si="7"/>
        <v>100</v>
      </c>
      <c r="P15" s="50">
        <f t="shared" si="7"/>
        <v>100</v>
      </c>
      <c r="Q15" s="31">
        <f t="shared" si="7"/>
        <v>99.99999999999999</v>
      </c>
      <c r="R15" s="31">
        <f t="shared" si="7"/>
        <v>100</v>
      </c>
      <c r="S15" s="50">
        <f t="shared" si="7"/>
        <v>100.00000000000001</v>
      </c>
      <c r="T15" s="50">
        <f t="shared" si="7"/>
        <v>100.00000000000001</v>
      </c>
      <c r="U15" s="50">
        <f t="shared" si="7"/>
        <v>100</v>
      </c>
      <c r="V15" s="50">
        <f t="shared" si="7"/>
        <v>100</v>
      </c>
      <c r="W15" s="50">
        <f t="shared" si="7"/>
        <v>100</v>
      </c>
      <c r="X15" s="50">
        <f t="shared" si="7"/>
        <v>100.00000000000001</v>
      </c>
      <c r="Y15" s="50">
        <f t="shared" si="7"/>
        <v>99.97999999999999</v>
      </c>
      <c r="Z15" s="31">
        <f t="shared" si="7"/>
        <v>98.9</v>
      </c>
      <c r="AA15" s="50">
        <f t="shared" si="7"/>
        <v>100</v>
      </c>
      <c r="AB15" s="50">
        <f t="shared" si="7"/>
        <v>100</v>
      </c>
      <c r="AC15" s="50">
        <f t="shared" si="7"/>
        <v>100</v>
      </c>
      <c r="AD15" s="50">
        <f t="shared" si="7"/>
        <v>100</v>
      </c>
      <c r="AE15" s="50">
        <f t="shared" si="7"/>
        <v>100</v>
      </c>
      <c r="AF15" s="50">
        <f t="shared" si="7"/>
        <v>100.01000000000002</v>
      </c>
      <c r="AG15" s="31">
        <f t="shared" si="7"/>
        <v>100</v>
      </c>
      <c r="AH15" s="50">
        <f t="shared" si="7"/>
        <v>100.01</v>
      </c>
      <c r="AI15" s="50">
        <f t="shared" si="7"/>
        <v>100.01</v>
      </c>
      <c r="AJ15" s="50">
        <f t="shared" si="7"/>
        <v>100</v>
      </c>
      <c r="AK15" s="50">
        <f t="shared" si="7"/>
        <v>100.00000000000001</v>
      </c>
      <c r="AL15" s="50">
        <f t="shared" si="7"/>
        <v>100</v>
      </c>
      <c r="AM15" s="50">
        <f t="shared" si="7"/>
        <v>100</v>
      </c>
      <c r="AN15" s="50">
        <f t="shared" si="7"/>
        <v>100.03999999999999</v>
      </c>
      <c r="AO15" s="50">
        <f t="shared" si="7"/>
        <v>100.00000000000001</v>
      </c>
      <c r="AP15" s="50">
        <f t="shared" si="7"/>
        <v>100</v>
      </c>
      <c r="AQ15" s="50">
        <f t="shared" si="7"/>
        <v>99.99</v>
      </c>
      <c r="AR15" s="50">
        <f t="shared" si="7"/>
        <v>99.95</v>
      </c>
      <c r="AS15" s="50">
        <f t="shared" si="7"/>
        <v>99.99999999999999</v>
      </c>
      <c r="AT15" s="50">
        <f t="shared" si="7"/>
        <v>100</v>
      </c>
      <c r="AU15" s="50">
        <f t="shared" si="7"/>
        <v>100.00000000000001</v>
      </c>
      <c r="AV15" s="50">
        <f t="shared" si="7"/>
        <v>100</v>
      </c>
      <c r="AW15" s="50">
        <f t="shared" si="7"/>
        <v>100.00000000000001</v>
      </c>
      <c r="AX15" s="50">
        <f t="shared" si="7"/>
        <v>100</v>
      </c>
      <c r="AY15" s="50">
        <f t="shared" si="7"/>
        <v>100</v>
      </c>
      <c r="AZ15" s="50">
        <f t="shared" si="7"/>
        <v>100</v>
      </c>
      <c r="BA15" s="50">
        <f t="shared" si="7"/>
        <v>100</v>
      </c>
      <c r="BB15" s="50">
        <f t="shared" si="7"/>
        <v>100</v>
      </c>
      <c r="BC15" s="50">
        <f t="shared" si="7"/>
        <v>100</v>
      </c>
      <c r="BD15" s="50">
        <f t="shared" si="7"/>
        <v>100</v>
      </c>
      <c r="BE15" s="50">
        <f t="shared" si="7"/>
        <v>99.99999999999999</v>
      </c>
      <c r="BF15" s="50">
        <f t="shared" si="7"/>
        <v>100</v>
      </c>
      <c r="BG15" s="50">
        <f t="shared" si="7"/>
        <v>100</v>
      </c>
      <c r="BH15" s="50">
        <f t="shared" si="7"/>
        <v>100</v>
      </c>
      <c r="BI15" s="105"/>
      <c r="BK15" s="115">
        <f>SUM(BK9:BK14)</f>
        <v>0.9999999999999998</v>
      </c>
      <c r="BL15" s="114"/>
      <c r="BM15" s="115">
        <f>SUM(BM9:BM14)</f>
        <v>1</v>
      </c>
      <c r="BN15" s="115">
        <f>SUM(BN9:BN14)</f>
        <v>1</v>
      </c>
    </row>
    <row r="16" spans="1:66" ht="18.75" customHeight="1">
      <c r="A16" s="102" t="s">
        <v>225</v>
      </c>
      <c r="B16" s="314"/>
      <c r="C16" s="51">
        <v>82.7</v>
      </c>
      <c r="D16" s="51">
        <v>72.8</v>
      </c>
      <c r="E16" s="51">
        <v>100</v>
      </c>
      <c r="F16" s="51">
        <v>100</v>
      </c>
      <c r="G16" s="51">
        <v>76.5</v>
      </c>
      <c r="H16" s="51">
        <v>82.98</v>
      </c>
      <c r="I16" s="51">
        <v>83</v>
      </c>
      <c r="J16" s="51">
        <v>74.7</v>
      </c>
      <c r="K16" s="51">
        <v>74.7</v>
      </c>
      <c r="L16" s="51">
        <v>83</v>
      </c>
      <c r="M16" s="51">
        <v>84.73</v>
      </c>
      <c r="N16" s="51">
        <v>69.3</v>
      </c>
      <c r="O16" s="52">
        <v>66.4</v>
      </c>
      <c r="P16" s="51">
        <v>84.3</v>
      </c>
      <c r="Q16" s="52">
        <v>87.1</v>
      </c>
      <c r="R16" s="52">
        <v>89.5</v>
      </c>
      <c r="S16" s="51">
        <v>97.3</v>
      </c>
      <c r="T16" s="51">
        <v>97.3</v>
      </c>
      <c r="U16" s="51">
        <v>76.6</v>
      </c>
      <c r="V16" s="51">
        <v>79.2</v>
      </c>
      <c r="W16" s="51">
        <v>79.4</v>
      </c>
      <c r="X16" s="51">
        <v>91.7</v>
      </c>
      <c r="Y16" s="52">
        <v>75.25</v>
      </c>
      <c r="Z16" s="51">
        <v>72.07</v>
      </c>
      <c r="AA16" s="51">
        <v>77</v>
      </c>
      <c r="AB16" s="51">
        <v>80.37</v>
      </c>
      <c r="AC16" s="51">
        <v>82.4</v>
      </c>
      <c r="AD16" s="51">
        <v>99.5</v>
      </c>
      <c r="AE16" s="51">
        <v>86.95</v>
      </c>
      <c r="AF16" s="51">
        <v>87.76</v>
      </c>
      <c r="AG16" s="52">
        <v>78</v>
      </c>
      <c r="AH16" s="52">
        <v>84.49</v>
      </c>
      <c r="AI16" s="52">
        <v>84.49</v>
      </c>
      <c r="AJ16" s="51">
        <v>99</v>
      </c>
      <c r="AK16" s="51">
        <v>70.93</v>
      </c>
      <c r="AL16" s="52">
        <v>100</v>
      </c>
      <c r="AM16" s="81">
        <v>100</v>
      </c>
      <c r="AN16" s="51">
        <v>94.87</v>
      </c>
      <c r="AO16" s="51">
        <v>100</v>
      </c>
      <c r="AP16" s="51">
        <v>92.9</v>
      </c>
      <c r="AQ16" s="51">
        <v>76.26</v>
      </c>
      <c r="AR16" s="51">
        <v>96.3</v>
      </c>
      <c r="AS16" s="51">
        <v>69.5</v>
      </c>
      <c r="AT16" s="51">
        <v>91.4</v>
      </c>
      <c r="AU16" s="51">
        <v>82.8</v>
      </c>
      <c r="AV16" s="51">
        <v>98.02</v>
      </c>
      <c r="AW16" s="51">
        <v>91.04</v>
      </c>
      <c r="AX16" s="51">
        <v>84</v>
      </c>
      <c r="AY16" s="51">
        <v>75.07</v>
      </c>
      <c r="AZ16" s="51">
        <v>98.3</v>
      </c>
      <c r="BA16" s="51">
        <v>97.6</v>
      </c>
      <c r="BB16" s="51">
        <v>76.2</v>
      </c>
      <c r="BC16" s="51">
        <v>98.1</v>
      </c>
      <c r="BD16" s="51">
        <v>100</v>
      </c>
      <c r="BE16" s="51">
        <v>100</v>
      </c>
      <c r="BF16" s="51">
        <v>100</v>
      </c>
      <c r="BG16" s="51">
        <v>100</v>
      </c>
      <c r="BH16" s="52">
        <v>95.7</v>
      </c>
      <c r="BI16" s="51"/>
      <c r="BK16" s="65">
        <f>+BK89/BK91</f>
        <v>0.8101914340945877</v>
      </c>
      <c r="BL16" s="65"/>
      <c r="BM16" s="65">
        <f>+BM89/BM91</f>
        <v>0.8291474372874728</v>
      </c>
      <c r="BN16" s="65">
        <f>+BN89/BN91</f>
        <v>0.8059596200002268</v>
      </c>
    </row>
    <row r="17" spans="1:66" ht="12.75">
      <c r="A17" s="33" t="s">
        <v>226</v>
      </c>
      <c r="B17" s="101"/>
      <c r="C17" s="51">
        <v>17.3</v>
      </c>
      <c r="D17" s="51">
        <v>27.2</v>
      </c>
      <c r="E17" s="51">
        <v>0</v>
      </c>
      <c r="F17" s="51">
        <v>0</v>
      </c>
      <c r="G17" s="51">
        <v>23.5</v>
      </c>
      <c r="H17" s="51">
        <v>17.02</v>
      </c>
      <c r="I17" s="51">
        <v>17</v>
      </c>
      <c r="J17" s="51">
        <v>25.3</v>
      </c>
      <c r="K17" s="51">
        <v>25.3</v>
      </c>
      <c r="L17" s="51">
        <v>17</v>
      </c>
      <c r="M17" s="51">
        <v>15.27</v>
      </c>
      <c r="N17" s="51">
        <v>30.7</v>
      </c>
      <c r="O17" s="52">
        <v>33.6</v>
      </c>
      <c r="P17" s="51">
        <v>15.7</v>
      </c>
      <c r="Q17" s="52">
        <v>12.9</v>
      </c>
      <c r="R17" s="52">
        <v>10.5</v>
      </c>
      <c r="S17" s="51">
        <v>2.7</v>
      </c>
      <c r="T17" s="51">
        <v>2.7</v>
      </c>
      <c r="U17" s="51">
        <v>23.4</v>
      </c>
      <c r="V17" s="51">
        <v>20.8</v>
      </c>
      <c r="W17" s="51">
        <v>20.6</v>
      </c>
      <c r="X17" s="51">
        <v>8.3</v>
      </c>
      <c r="Y17" s="52">
        <v>24.75</v>
      </c>
      <c r="Z17" s="51">
        <v>27.93</v>
      </c>
      <c r="AA17" s="51">
        <v>23</v>
      </c>
      <c r="AB17" s="51">
        <v>19.63</v>
      </c>
      <c r="AC17" s="51">
        <v>17.6</v>
      </c>
      <c r="AD17" s="51">
        <v>0.5</v>
      </c>
      <c r="AE17" s="51">
        <v>13.05</v>
      </c>
      <c r="AF17" s="51">
        <v>12.24</v>
      </c>
      <c r="AG17" s="52">
        <v>22</v>
      </c>
      <c r="AH17" s="52">
        <v>15.51</v>
      </c>
      <c r="AI17" s="52">
        <v>15.51</v>
      </c>
      <c r="AJ17" s="51">
        <v>1</v>
      </c>
      <c r="AK17" s="51">
        <v>29.07</v>
      </c>
      <c r="AL17" s="52">
        <v>0</v>
      </c>
      <c r="AM17" s="81">
        <v>0</v>
      </c>
      <c r="AN17" s="51">
        <v>5.13</v>
      </c>
      <c r="AO17" s="51">
        <v>0</v>
      </c>
      <c r="AP17" s="51">
        <v>7.1</v>
      </c>
      <c r="AQ17" s="51">
        <v>23.74</v>
      </c>
      <c r="AR17" s="51">
        <v>3.7</v>
      </c>
      <c r="AS17" s="51">
        <v>30.5</v>
      </c>
      <c r="AT17" s="51">
        <v>8.6</v>
      </c>
      <c r="AU17" s="51">
        <v>17.2</v>
      </c>
      <c r="AV17" s="51">
        <v>1.98</v>
      </c>
      <c r="AW17" s="51">
        <v>8.96</v>
      </c>
      <c r="AX17" s="51">
        <v>16</v>
      </c>
      <c r="AY17" s="51">
        <v>24.93</v>
      </c>
      <c r="AZ17" s="51">
        <v>1.7</v>
      </c>
      <c r="BA17" s="51">
        <v>2.4</v>
      </c>
      <c r="BB17" s="51">
        <v>23.8</v>
      </c>
      <c r="BC17" s="51">
        <v>1.9</v>
      </c>
      <c r="BD17" s="51">
        <v>0</v>
      </c>
      <c r="BE17" s="51">
        <v>0</v>
      </c>
      <c r="BF17" s="51">
        <v>0</v>
      </c>
      <c r="BG17" s="51">
        <v>0</v>
      </c>
      <c r="BH17" s="52">
        <v>4.3</v>
      </c>
      <c r="BI17" s="51"/>
      <c r="BK17" s="65">
        <f>+BK90/BK91</f>
        <v>0.18980856590541256</v>
      </c>
      <c r="BL17" s="65"/>
      <c r="BM17" s="65">
        <f>+BM90/BM91</f>
        <v>0.17085256271252727</v>
      </c>
      <c r="BN17" s="65">
        <f>+BN90/BN91</f>
        <v>0.19404037999977347</v>
      </c>
    </row>
    <row r="18" spans="1:66" s="113" customFormat="1" ht="12.75">
      <c r="A18" s="37" t="s">
        <v>466</v>
      </c>
      <c r="B18" s="101">
        <v>4</v>
      </c>
      <c r="C18" s="50">
        <f>SUM(C16:C17)</f>
        <v>100</v>
      </c>
      <c r="D18" s="50">
        <f aca="true" t="shared" si="8" ref="D18:BI18">SUM(D16:D17)</f>
        <v>100</v>
      </c>
      <c r="E18" s="50">
        <f t="shared" si="8"/>
        <v>100</v>
      </c>
      <c r="F18" s="50">
        <f t="shared" si="8"/>
        <v>100</v>
      </c>
      <c r="G18" s="50">
        <f t="shared" si="8"/>
        <v>100</v>
      </c>
      <c r="H18" s="50">
        <f t="shared" si="8"/>
        <v>100</v>
      </c>
      <c r="I18" s="50">
        <f t="shared" si="8"/>
        <v>100</v>
      </c>
      <c r="J18" s="50">
        <f t="shared" si="8"/>
        <v>100</v>
      </c>
      <c r="K18" s="50">
        <f t="shared" si="8"/>
        <v>100</v>
      </c>
      <c r="L18" s="50">
        <f t="shared" si="8"/>
        <v>100</v>
      </c>
      <c r="M18" s="50">
        <f t="shared" si="8"/>
        <v>100</v>
      </c>
      <c r="N18" s="50">
        <f t="shared" si="8"/>
        <v>100</v>
      </c>
      <c r="O18" s="50">
        <f t="shared" si="8"/>
        <v>100</v>
      </c>
      <c r="P18" s="50">
        <f t="shared" si="8"/>
        <v>100</v>
      </c>
      <c r="Q18" s="50">
        <f t="shared" si="8"/>
        <v>100</v>
      </c>
      <c r="R18" s="50">
        <f t="shared" si="8"/>
        <v>100</v>
      </c>
      <c r="S18" s="50">
        <f t="shared" si="8"/>
        <v>100</v>
      </c>
      <c r="T18" s="50">
        <f t="shared" si="8"/>
        <v>100</v>
      </c>
      <c r="U18" s="50">
        <f t="shared" si="8"/>
        <v>100</v>
      </c>
      <c r="V18" s="50">
        <f t="shared" si="8"/>
        <v>100</v>
      </c>
      <c r="W18" s="50">
        <f t="shared" si="8"/>
        <v>100</v>
      </c>
      <c r="X18" s="50">
        <f t="shared" si="8"/>
        <v>100</v>
      </c>
      <c r="Y18" s="50">
        <f t="shared" si="8"/>
        <v>100</v>
      </c>
      <c r="Z18" s="50">
        <f t="shared" si="8"/>
        <v>100</v>
      </c>
      <c r="AA18" s="50">
        <f t="shared" si="8"/>
        <v>100</v>
      </c>
      <c r="AB18" s="50">
        <f t="shared" si="8"/>
        <v>100</v>
      </c>
      <c r="AC18" s="50">
        <f t="shared" si="8"/>
        <v>100</v>
      </c>
      <c r="AD18" s="50">
        <f t="shared" si="8"/>
        <v>100</v>
      </c>
      <c r="AE18" s="50">
        <f t="shared" si="8"/>
        <v>100</v>
      </c>
      <c r="AF18" s="50">
        <f t="shared" si="8"/>
        <v>100</v>
      </c>
      <c r="AG18" s="31">
        <f t="shared" si="8"/>
        <v>100</v>
      </c>
      <c r="AH18" s="50">
        <f t="shared" si="8"/>
        <v>100</v>
      </c>
      <c r="AI18" s="50">
        <f t="shared" si="8"/>
        <v>100</v>
      </c>
      <c r="AJ18" s="50">
        <f t="shared" si="8"/>
        <v>100</v>
      </c>
      <c r="AK18" s="50">
        <f t="shared" si="8"/>
        <v>100</v>
      </c>
      <c r="AL18" s="50">
        <f t="shared" si="8"/>
        <v>100</v>
      </c>
      <c r="AM18" s="50">
        <f t="shared" si="8"/>
        <v>100</v>
      </c>
      <c r="AN18" s="50">
        <f t="shared" si="8"/>
        <v>100</v>
      </c>
      <c r="AO18" s="50">
        <f t="shared" si="8"/>
        <v>100</v>
      </c>
      <c r="AP18" s="50">
        <f t="shared" si="8"/>
        <v>100</v>
      </c>
      <c r="AQ18" s="50">
        <f t="shared" si="8"/>
        <v>100</v>
      </c>
      <c r="AR18" s="50">
        <f t="shared" si="8"/>
        <v>100</v>
      </c>
      <c r="AS18" s="50">
        <f t="shared" si="8"/>
        <v>100</v>
      </c>
      <c r="AT18" s="50">
        <f t="shared" si="8"/>
        <v>100</v>
      </c>
      <c r="AU18" s="50">
        <f t="shared" si="8"/>
        <v>100</v>
      </c>
      <c r="AV18" s="50">
        <f t="shared" si="8"/>
        <v>100</v>
      </c>
      <c r="AW18" s="50">
        <f t="shared" si="8"/>
        <v>100</v>
      </c>
      <c r="AX18" s="50">
        <f t="shared" si="8"/>
        <v>100</v>
      </c>
      <c r="AY18" s="50">
        <f t="shared" si="8"/>
        <v>100</v>
      </c>
      <c r="AZ18" s="50">
        <f t="shared" si="8"/>
        <v>100</v>
      </c>
      <c r="BA18" s="50">
        <f t="shared" si="8"/>
        <v>100</v>
      </c>
      <c r="BB18" s="50">
        <f t="shared" si="8"/>
        <v>100</v>
      </c>
      <c r="BC18" s="50">
        <f t="shared" si="8"/>
        <v>100</v>
      </c>
      <c r="BD18" s="50">
        <f t="shared" si="8"/>
        <v>100</v>
      </c>
      <c r="BE18" s="50">
        <f t="shared" si="8"/>
        <v>100</v>
      </c>
      <c r="BF18" s="50">
        <f t="shared" si="8"/>
        <v>100</v>
      </c>
      <c r="BG18" s="50">
        <f t="shared" si="8"/>
        <v>100</v>
      </c>
      <c r="BH18" s="50">
        <f t="shared" si="8"/>
        <v>100</v>
      </c>
      <c r="BI18" s="50">
        <f t="shared" si="8"/>
        <v>0</v>
      </c>
      <c r="BK18" s="115">
        <f>SUM(BK16:BK17)</f>
        <v>1.0000000000000002</v>
      </c>
      <c r="BL18" s="114"/>
      <c r="BM18" s="115">
        <f>SUM(BM16:BM17)</f>
        <v>1</v>
      </c>
      <c r="BN18" s="115">
        <f>SUM(BN16:BN17)</f>
        <v>1.0000000000000002</v>
      </c>
    </row>
    <row r="19" spans="1:69" s="79" customFormat="1" ht="18" customHeight="1">
      <c r="A19" s="33" t="s">
        <v>467</v>
      </c>
      <c r="B19" s="101">
        <v>5</v>
      </c>
      <c r="C19" s="31">
        <v>8678</v>
      </c>
      <c r="D19" s="31">
        <v>17462</v>
      </c>
      <c r="E19" s="31">
        <v>75</v>
      </c>
      <c r="F19" s="31">
        <v>13</v>
      </c>
      <c r="G19" s="31">
        <v>27332</v>
      </c>
      <c r="H19" s="31">
        <v>17031</v>
      </c>
      <c r="I19" s="31">
        <v>3689</v>
      </c>
      <c r="J19" s="31">
        <v>8508</v>
      </c>
      <c r="K19" s="31">
        <v>2246</v>
      </c>
      <c r="L19" s="31">
        <v>12042</v>
      </c>
      <c r="M19" s="31">
        <v>7171</v>
      </c>
      <c r="N19" s="31">
        <v>3548</v>
      </c>
      <c r="O19" s="31">
        <v>4722</v>
      </c>
      <c r="P19" s="31">
        <v>5237</v>
      </c>
      <c r="Q19" s="31">
        <v>709</v>
      </c>
      <c r="R19" s="31">
        <v>1315</v>
      </c>
      <c r="S19" s="31">
        <v>1822</v>
      </c>
      <c r="T19" s="31">
        <v>1155</v>
      </c>
      <c r="U19" s="79">
        <v>5661</v>
      </c>
      <c r="V19" s="31">
        <v>1104</v>
      </c>
      <c r="W19" s="367">
        <v>2342</v>
      </c>
      <c r="X19" s="367">
        <v>0</v>
      </c>
      <c r="Y19" s="31">
        <v>2030</v>
      </c>
      <c r="Z19" s="31">
        <v>3820</v>
      </c>
      <c r="AA19" s="187">
        <v>835</v>
      </c>
      <c r="AB19" s="31">
        <v>1567</v>
      </c>
      <c r="AC19" s="31">
        <v>3530</v>
      </c>
      <c r="AD19" s="31">
        <v>1555</v>
      </c>
      <c r="AE19" s="31">
        <v>2724</v>
      </c>
      <c r="AF19" s="31">
        <v>363</v>
      </c>
      <c r="AG19" s="31">
        <v>1189</v>
      </c>
      <c r="AH19" s="246">
        <v>6718</v>
      </c>
      <c r="AI19" s="246">
        <v>1348</v>
      </c>
      <c r="AJ19" s="31">
        <v>243</v>
      </c>
      <c r="AK19" s="31">
        <v>2035</v>
      </c>
      <c r="AL19" s="31">
        <v>823</v>
      </c>
      <c r="AM19" s="31">
        <v>0</v>
      </c>
      <c r="AN19" s="31">
        <v>0</v>
      </c>
      <c r="AO19" s="31">
        <v>0</v>
      </c>
      <c r="AP19" s="31">
        <v>684</v>
      </c>
      <c r="AQ19" s="31">
        <v>560</v>
      </c>
      <c r="AR19" s="31">
        <v>0</v>
      </c>
      <c r="AS19" s="31">
        <v>245</v>
      </c>
      <c r="AT19" s="31">
        <v>244</v>
      </c>
      <c r="AU19" s="31">
        <v>278</v>
      </c>
      <c r="AV19" s="31">
        <v>0</v>
      </c>
      <c r="AW19" s="31">
        <v>0</v>
      </c>
      <c r="AX19" s="31">
        <v>262</v>
      </c>
      <c r="AY19" s="31">
        <v>114</v>
      </c>
      <c r="AZ19" s="31">
        <v>0</v>
      </c>
      <c r="BA19" s="31">
        <v>0</v>
      </c>
      <c r="BB19" s="31">
        <v>138</v>
      </c>
      <c r="BC19" s="31">
        <v>0</v>
      </c>
      <c r="BD19" s="31">
        <v>0</v>
      </c>
      <c r="BE19" s="31">
        <v>43</v>
      </c>
      <c r="BF19" s="31">
        <v>21</v>
      </c>
      <c r="BG19" s="31">
        <v>0</v>
      </c>
      <c r="BH19" s="31">
        <v>62</v>
      </c>
      <c r="BI19" s="31">
        <v>0</v>
      </c>
      <c r="BK19" s="30">
        <f>SUM(C19:BI19)</f>
        <v>163293</v>
      </c>
      <c r="BL19" s="30"/>
      <c r="BM19" s="30">
        <f>+C19+E19+F19+AA19+AD19+AM19+AO19+AS19+AU19+AX19+AY19+BB19+BE19+BF19+BG19+BH19</f>
        <v>12319</v>
      </c>
      <c r="BN19" s="30">
        <f>+D19+SUM(G19:Z19)+SUM(AB19:AC19)+SUM(AE19:AL19)+AN19+AP19+AQ19+AR19+AT19+AV19+AW19+AZ19+BA19+BC19+BD19+BI19</f>
        <v>150974</v>
      </c>
      <c r="BO19" s="41"/>
      <c r="BP19" s="41"/>
      <c r="BQ19" s="41"/>
    </row>
    <row r="20" spans="1:69" ht="12" customHeight="1">
      <c r="A20" s="33" t="s">
        <v>468</v>
      </c>
      <c r="B20" s="101">
        <v>6</v>
      </c>
      <c r="C20" s="31">
        <v>8399</v>
      </c>
      <c r="D20" s="50">
        <v>258</v>
      </c>
      <c r="E20" s="50">
        <v>174</v>
      </c>
      <c r="F20" s="50">
        <v>28</v>
      </c>
      <c r="G20" s="50">
        <v>6165</v>
      </c>
      <c r="H20" s="50">
        <v>9282</v>
      </c>
      <c r="I20" s="50">
        <v>3211</v>
      </c>
      <c r="J20" s="50">
        <v>3854</v>
      </c>
      <c r="K20" s="50">
        <v>15</v>
      </c>
      <c r="L20" s="31">
        <v>3613</v>
      </c>
      <c r="M20" s="50">
        <v>2757</v>
      </c>
      <c r="N20" s="2">
        <v>62</v>
      </c>
      <c r="O20" s="188">
        <v>74</v>
      </c>
      <c r="P20" s="50">
        <v>561</v>
      </c>
      <c r="Q20" s="50">
        <v>499</v>
      </c>
      <c r="R20" s="50">
        <v>19</v>
      </c>
      <c r="S20" s="50">
        <v>2559</v>
      </c>
      <c r="T20" s="50">
        <v>14</v>
      </c>
      <c r="U20" s="2">
        <v>1383</v>
      </c>
      <c r="V20" s="50">
        <v>228</v>
      </c>
      <c r="W20" s="182">
        <v>1046</v>
      </c>
      <c r="X20" s="182">
        <v>46</v>
      </c>
      <c r="Y20" s="31">
        <v>144</v>
      </c>
      <c r="Z20" s="50">
        <v>1823</v>
      </c>
      <c r="AA20" s="204">
        <v>471</v>
      </c>
      <c r="AB20" s="50">
        <v>747</v>
      </c>
      <c r="AC20" s="31">
        <v>3649.6666666666665</v>
      </c>
      <c r="AD20" s="50">
        <v>1942</v>
      </c>
      <c r="AE20" s="50">
        <v>1219</v>
      </c>
      <c r="AF20" s="50">
        <v>101</v>
      </c>
      <c r="AG20" s="31">
        <v>3</v>
      </c>
      <c r="AH20" s="31">
        <v>167</v>
      </c>
      <c r="AI20" s="187">
        <v>14</v>
      </c>
      <c r="AJ20" s="50">
        <v>162</v>
      </c>
      <c r="AK20" s="50">
        <v>973</v>
      </c>
      <c r="AL20" s="188">
        <v>1</v>
      </c>
      <c r="AM20" s="50">
        <v>131</v>
      </c>
      <c r="AN20" s="31">
        <v>209</v>
      </c>
      <c r="AO20" s="31">
        <v>15</v>
      </c>
      <c r="AP20" s="50">
        <v>280</v>
      </c>
      <c r="AQ20" s="50">
        <v>179</v>
      </c>
      <c r="AR20" s="50">
        <v>119</v>
      </c>
      <c r="AS20" s="50">
        <v>167</v>
      </c>
      <c r="AT20" s="50">
        <v>1</v>
      </c>
      <c r="AU20" s="50">
        <v>189</v>
      </c>
      <c r="AV20" s="50">
        <v>30</v>
      </c>
      <c r="AW20" s="50">
        <v>225</v>
      </c>
      <c r="AX20" s="50">
        <v>267</v>
      </c>
      <c r="AY20" s="50">
        <v>173</v>
      </c>
      <c r="AZ20" s="50">
        <v>73</v>
      </c>
      <c r="BA20" s="50">
        <v>214</v>
      </c>
      <c r="BB20" s="50">
        <v>112</v>
      </c>
      <c r="BC20" s="50">
        <v>106</v>
      </c>
      <c r="BD20" s="50">
        <v>119</v>
      </c>
      <c r="BE20" s="50">
        <v>67</v>
      </c>
      <c r="BF20" s="50">
        <v>40</v>
      </c>
      <c r="BG20" s="50">
        <v>136</v>
      </c>
      <c r="BH20" s="31">
        <v>139</v>
      </c>
      <c r="BI20" s="50">
        <v>3</v>
      </c>
      <c r="BK20" s="30">
        <f>SUM(C20:BI20)</f>
        <v>58657.666666666664</v>
      </c>
      <c r="BL20" s="30"/>
      <c r="BM20" s="30">
        <f>+C20+E20+F20+AA20+AD20+AM20+AO20+AS20+AU20+AX20+AY20+BB20+BE20+BF20+BG20+BH20</f>
        <v>12450</v>
      </c>
      <c r="BN20" s="30">
        <f>+D20+SUM(G20:Z20)+SUM(AB20:AC20)+SUM(AE20:AL20)+AN20+AP20+AQ20+AR20+AT20+AV20+AW20+AZ20+BA20+BC20+BD20+BI20</f>
        <v>46207.666666666664</v>
      </c>
      <c r="BO20" s="76"/>
      <c r="BP20" s="76"/>
      <c r="BQ20" s="76"/>
    </row>
    <row r="21" spans="1:66" ht="21.75" customHeight="1">
      <c r="A21" s="33" t="s">
        <v>227</v>
      </c>
      <c r="B21" s="101"/>
      <c r="C21" s="51">
        <v>74</v>
      </c>
      <c r="D21" s="51">
        <v>13.9</v>
      </c>
      <c r="E21" s="51">
        <v>59.4</v>
      </c>
      <c r="F21" s="51">
        <v>63.1</v>
      </c>
      <c r="G21" s="51">
        <v>60.2</v>
      </c>
      <c r="H21" s="51">
        <v>63.1</v>
      </c>
      <c r="I21" s="51">
        <v>43</v>
      </c>
      <c r="J21" s="51">
        <v>63.1</v>
      </c>
      <c r="K21" s="51">
        <v>3</v>
      </c>
      <c r="L21" s="51">
        <v>55.1</v>
      </c>
      <c r="M21" s="51">
        <v>52.7</v>
      </c>
      <c r="N21" s="52">
        <v>45.8</v>
      </c>
      <c r="O21" s="188">
        <v>1.2</v>
      </c>
      <c r="P21" s="51">
        <v>50.7</v>
      </c>
      <c r="Q21" s="51">
        <v>81.2</v>
      </c>
      <c r="R21" s="51">
        <v>52.2</v>
      </c>
      <c r="S21" s="51">
        <v>68.9</v>
      </c>
      <c r="T21" s="51">
        <v>3.1</v>
      </c>
      <c r="U21" s="51">
        <v>45</v>
      </c>
      <c r="V21" s="51">
        <v>78</v>
      </c>
      <c r="W21" s="51">
        <v>46.9</v>
      </c>
      <c r="X21" s="51">
        <v>69</v>
      </c>
      <c r="Y21" s="52">
        <v>79</v>
      </c>
      <c r="Z21" s="51">
        <v>50.1</v>
      </c>
      <c r="AA21" s="51">
        <v>88.3</v>
      </c>
      <c r="AB21" s="51">
        <v>40.1</v>
      </c>
      <c r="AC21" s="51">
        <v>72.2</v>
      </c>
      <c r="AD21" s="51">
        <v>68.1</v>
      </c>
      <c r="AE21" s="51">
        <v>57.6</v>
      </c>
      <c r="AF21" s="51">
        <v>72.3</v>
      </c>
      <c r="AG21" s="52">
        <v>0</v>
      </c>
      <c r="AH21" s="52">
        <v>21.3</v>
      </c>
      <c r="AI21" s="52">
        <v>13.6</v>
      </c>
      <c r="AJ21" s="51">
        <v>80.27</v>
      </c>
      <c r="AK21" s="51">
        <v>48.07</v>
      </c>
      <c r="AL21" s="52">
        <v>0</v>
      </c>
      <c r="AM21" s="81">
        <v>83.7</v>
      </c>
      <c r="AN21" s="51">
        <v>72.58</v>
      </c>
      <c r="AO21" s="51">
        <v>75</v>
      </c>
      <c r="AP21" s="51">
        <v>52.5</v>
      </c>
      <c r="AQ21" s="51">
        <v>52.3</v>
      </c>
      <c r="AR21" s="51">
        <v>79.4</v>
      </c>
      <c r="AS21" s="51">
        <v>71.9</v>
      </c>
      <c r="AT21" s="51">
        <v>100</v>
      </c>
      <c r="AU21" s="51">
        <v>77.7</v>
      </c>
      <c r="AV21" s="51">
        <v>78.02</v>
      </c>
      <c r="AW21" s="51">
        <v>71</v>
      </c>
      <c r="AX21" s="51">
        <v>70.8</v>
      </c>
      <c r="AY21" s="51">
        <v>68.64</v>
      </c>
      <c r="AZ21" s="51">
        <v>75.8</v>
      </c>
      <c r="BA21" s="51">
        <v>83.9</v>
      </c>
      <c r="BB21" s="51">
        <v>72.7</v>
      </c>
      <c r="BC21" s="51">
        <v>78.5</v>
      </c>
      <c r="BD21" s="51">
        <v>76</v>
      </c>
      <c r="BE21" s="51">
        <v>70.3</v>
      </c>
      <c r="BF21" s="51">
        <v>51</v>
      </c>
      <c r="BG21" s="51">
        <v>70</v>
      </c>
      <c r="BH21" s="52">
        <v>58.2</v>
      </c>
      <c r="BI21" s="51"/>
      <c r="BK21" s="65">
        <f>+BK67/$BK$72</f>
        <v>0.6632979443767352</v>
      </c>
      <c r="BL21" s="30"/>
      <c r="BM21" s="65">
        <f>+BM67/$BM$72</f>
        <v>0.7368063391627848</v>
      </c>
      <c r="BN21" s="65">
        <f>+BN67/$BN$72</f>
        <v>0.5994241234020204</v>
      </c>
    </row>
    <row r="22" spans="1:66" ht="12.75">
      <c r="A22" s="33" t="s">
        <v>228</v>
      </c>
      <c r="B22" s="101"/>
      <c r="C22" s="51">
        <v>4.2</v>
      </c>
      <c r="D22" s="51">
        <v>78.3</v>
      </c>
      <c r="E22" s="51">
        <v>0.4</v>
      </c>
      <c r="F22" s="51">
        <v>0</v>
      </c>
      <c r="G22" s="51">
        <v>26.2</v>
      </c>
      <c r="H22" s="51">
        <v>28.9</v>
      </c>
      <c r="I22" s="51">
        <v>43</v>
      </c>
      <c r="J22" s="51">
        <v>18.3</v>
      </c>
      <c r="K22" s="51">
        <v>72.5</v>
      </c>
      <c r="L22" s="51">
        <v>32.8</v>
      </c>
      <c r="M22" s="51">
        <v>35.3</v>
      </c>
      <c r="N22" s="52">
        <v>5.7</v>
      </c>
      <c r="O22" s="52">
        <v>45.7</v>
      </c>
      <c r="P22" s="51">
        <v>33.1</v>
      </c>
      <c r="Q22" s="51">
        <v>7</v>
      </c>
      <c r="R22" s="51">
        <v>33.5</v>
      </c>
      <c r="S22" s="51">
        <v>15.4</v>
      </c>
      <c r="T22" s="51">
        <v>85</v>
      </c>
      <c r="U22" s="51">
        <v>43.5</v>
      </c>
      <c r="V22" s="51">
        <v>8.2</v>
      </c>
      <c r="W22" s="51">
        <v>36.1</v>
      </c>
      <c r="X22" s="51">
        <v>12.2</v>
      </c>
      <c r="Y22" s="52">
        <v>7</v>
      </c>
      <c r="Z22" s="51">
        <v>37.7</v>
      </c>
      <c r="AA22" s="51">
        <v>9.2</v>
      </c>
      <c r="AB22" s="51">
        <v>44.8</v>
      </c>
      <c r="AC22" s="51">
        <v>17.3</v>
      </c>
      <c r="AD22" s="51">
        <v>6.5</v>
      </c>
      <c r="AE22" s="51">
        <v>31.5</v>
      </c>
      <c r="AF22" s="51">
        <v>17.6</v>
      </c>
      <c r="AG22" s="52">
        <v>84.2</v>
      </c>
      <c r="AH22" s="52">
        <v>59.4</v>
      </c>
      <c r="AI22" s="52">
        <v>45.6</v>
      </c>
      <c r="AJ22" s="51">
        <v>3.7</v>
      </c>
      <c r="AK22" s="51">
        <v>38.84</v>
      </c>
      <c r="AL22" s="52">
        <v>99.38</v>
      </c>
      <c r="AM22" s="81">
        <v>0.1</v>
      </c>
      <c r="AN22" s="51">
        <v>8.12</v>
      </c>
      <c r="AO22" s="51">
        <v>0</v>
      </c>
      <c r="AP22" s="51">
        <v>32.1</v>
      </c>
      <c r="AQ22" s="51">
        <v>39</v>
      </c>
      <c r="AR22" s="51">
        <v>0.9</v>
      </c>
      <c r="AS22" s="51">
        <v>22.3</v>
      </c>
      <c r="AT22" s="51">
        <v>0</v>
      </c>
      <c r="AU22" s="51">
        <v>5</v>
      </c>
      <c r="AV22" s="51">
        <v>16.07</v>
      </c>
      <c r="AW22" s="51">
        <v>12</v>
      </c>
      <c r="AX22" s="51">
        <v>7.6</v>
      </c>
      <c r="AY22" s="51">
        <v>14.44</v>
      </c>
      <c r="AZ22" s="51">
        <v>0.2</v>
      </c>
      <c r="BA22" s="51">
        <v>9.2</v>
      </c>
      <c r="BB22" s="51">
        <v>6.1</v>
      </c>
      <c r="BC22" s="51">
        <v>18.7</v>
      </c>
      <c r="BD22" s="51">
        <v>1</v>
      </c>
      <c r="BE22" s="51">
        <v>15</v>
      </c>
      <c r="BF22" s="51">
        <v>8</v>
      </c>
      <c r="BG22" s="51">
        <v>2.5</v>
      </c>
      <c r="BH22" s="52">
        <v>9.7</v>
      </c>
      <c r="BI22" s="51"/>
      <c r="BK22" s="65">
        <f>+BK68/$BK$72</f>
        <v>0.1660604472014618</v>
      </c>
      <c r="BL22" s="30"/>
      <c r="BM22" s="65">
        <f>+BM68/$BM$72</f>
        <v>0.0482607906755433</v>
      </c>
      <c r="BN22" s="65">
        <f>+BN68/$BN$72</f>
        <v>0.268420377570222</v>
      </c>
    </row>
    <row r="23" spans="1:66" ht="12.75">
      <c r="A23" s="33" t="s">
        <v>229</v>
      </c>
      <c r="B23" s="101"/>
      <c r="C23" s="51">
        <v>21.7</v>
      </c>
      <c r="D23" s="51">
        <v>5.5</v>
      </c>
      <c r="E23" s="51">
        <v>40.1</v>
      </c>
      <c r="F23" s="51">
        <v>36.9</v>
      </c>
      <c r="G23" s="51">
        <v>11</v>
      </c>
      <c r="H23" s="51">
        <v>6.1</v>
      </c>
      <c r="I23" s="51">
        <v>11</v>
      </c>
      <c r="J23" s="51">
        <v>15.5</v>
      </c>
      <c r="K23" s="51">
        <v>0</v>
      </c>
      <c r="L23" s="51">
        <v>9.2</v>
      </c>
      <c r="M23" s="51">
        <v>9</v>
      </c>
      <c r="N23" s="52">
        <v>45.6</v>
      </c>
      <c r="O23" s="52">
        <v>15.7</v>
      </c>
      <c r="P23" s="51">
        <v>14.2</v>
      </c>
      <c r="Q23" s="51">
        <v>11.7</v>
      </c>
      <c r="R23" s="51">
        <v>11</v>
      </c>
      <c r="S23" s="51">
        <v>15</v>
      </c>
      <c r="T23" s="51">
        <v>2.6</v>
      </c>
      <c r="U23" s="51">
        <v>9</v>
      </c>
      <c r="V23" s="51">
        <v>13.2</v>
      </c>
      <c r="W23" s="51">
        <v>13.1</v>
      </c>
      <c r="X23" s="51">
        <v>18.8</v>
      </c>
      <c r="Y23" s="52">
        <v>13</v>
      </c>
      <c r="Z23" s="51">
        <v>9.2</v>
      </c>
      <c r="AA23" s="51">
        <v>2.3</v>
      </c>
      <c r="AB23" s="51">
        <v>12</v>
      </c>
      <c r="AC23" s="51">
        <v>8.6</v>
      </c>
      <c r="AD23" s="51">
        <v>25</v>
      </c>
      <c r="AE23" s="51">
        <v>8.5</v>
      </c>
      <c r="AF23" s="51">
        <v>8.7</v>
      </c>
      <c r="AG23" s="52">
        <v>15.8</v>
      </c>
      <c r="AH23" s="52">
        <v>5.5</v>
      </c>
      <c r="AI23" s="52">
        <v>0.1</v>
      </c>
      <c r="AJ23" s="51">
        <v>15.77</v>
      </c>
      <c r="AK23" s="51">
        <v>5.74</v>
      </c>
      <c r="AL23" s="52">
        <v>0</v>
      </c>
      <c r="AM23" s="81">
        <v>16.2</v>
      </c>
      <c r="AN23" s="51">
        <v>19.08</v>
      </c>
      <c r="AO23" s="51">
        <v>25</v>
      </c>
      <c r="AP23" s="51">
        <v>12.2</v>
      </c>
      <c r="AQ23" s="51">
        <v>7.4</v>
      </c>
      <c r="AR23" s="51">
        <v>19.7</v>
      </c>
      <c r="AS23" s="51">
        <v>5.7</v>
      </c>
      <c r="AT23" s="51">
        <v>0</v>
      </c>
      <c r="AU23" s="51">
        <v>16.6</v>
      </c>
      <c r="AV23" s="51">
        <v>5.4</v>
      </c>
      <c r="AW23" s="51">
        <v>17</v>
      </c>
      <c r="AX23" s="51">
        <v>21</v>
      </c>
      <c r="AY23" s="51">
        <v>16.6</v>
      </c>
      <c r="AZ23" s="51">
        <v>22.9</v>
      </c>
      <c r="BA23" s="51">
        <v>6.6</v>
      </c>
      <c r="BB23" s="51">
        <v>21</v>
      </c>
      <c r="BC23" s="51">
        <v>2.8</v>
      </c>
      <c r="BD23" s="51">
        <v>23</v>
      </c>
      <c r="BE23" s="51">
        <v>13.2</v>
      </c>
      <c r="BF23" s="51">
        <v>41</v>
      </c>
      <c r="BG23" s="51">
        <v>27.2</v>
      </c>
      <c r="BH23" s="52">
        <v>30.9</v>
      </c>
      <c r="BI23" s="51"/>
      <c r="BK23" s="65">
        <f>+BK69/$BK$72</f>
        <v>0.15749726838676337</v>
      </c>
      <c r="BL23" s="30"/>
      <c r="BM23" s="65">
        <f>+BM69/$BM$72</f>
        <v>0.21337564486452767</v>
      </c>
      <c r="BN23" s="65">
        <f>+BN69/$BN$72</f>
        <v>0.10894274035106528</v>
      </c>
    </row>
    <row r="24" spans="1:66" ht="12.75">
      <c r="A24" s="33" t="s">
        <v>230</v>
      </c>
      <c r="B24" s="101"/>
      <c r="C24" s="51">
        <v>0.1</v>
      </c>
      <c r="D24" s="51">
        <v>2.3</v>
      </c>
      <c r="E24" s="51">
        <v>0.1</v>
      </c>
      <c r="F24" s="51">
        <v>0</v>
      </c>
      <c r="G24" s="51">
        <v>2.6</v>
      </c>
      <c r="H24" s="51">
        <v>1.9</v>
      </c>
      <c r="I24" s="51">
        <v>3</v>
      </c>
      <c r="J24" s="51">
        <v>2.2</v>
      </c>
      <c r="K24" s="51">
        <v>24.5</v>
      </c>
      <c r="L24" s="51">
        <v>2.9</v>
      </c>
      <c r="M24" s="51">
        <v>3</v>
      </c>
      <c r="N24" s="52">
        <v>2.9</v>
      </c>
      <c r="O24" s="52">
        <v>5.6</v>
      </c>
      <c r="P24" s="51">
        <v>2</v>
      </c>
      <c r="Q24" s="51">
        <v>0.1</v>
      </c>
      <c r="R24" s="51">
        <v>3.3</v>
      </c>
      <c r="S24" s="51">
        <v>0.7</v>
      </c>
      <c r="T24" s="51">
        <v>9.3</v>
      </c>
      <c r="U24" s="51">
        <v>2.5</v>
      </c>
      <c r="V24" s="51">
        <v>0.6</v>
      </c>
      <c r="W24" s="51">
        <v>3.9</v>
      </c>
      <c r="X24" s="51">
        <v>0</v>
      </c>
      <c r="Y24" s="52">
        <v>1</v>
      </c>
      <c r="Z24" s="51">
        <v>3</v>
      </c>
      <c r="AA24" s="51">
        <v>0.2</v>
      </c>
      <c r="AB24" s="51">
        <v>3.1</v>
      </c>
      <c r="AC24" s="51">
        <v>1.9</v>
      </c>
      <c r="AD24" s="51">
        <v>0.4</v>
      </c>
      <c r="AE24" s="51">
        <v>2.4</v>
      </c>
      <c r="AF24" s="51">
        <v>1.4</v>
      </c>
      <c r="AG24" s="52">
        <v>0</v>
      </c>
      <c r="AH24" s="52">
        <v>13.7</v>
      </c>
      <c r="AI24" s="52">
        <v>40.8</v>
      </c>
      <c r="AJ24" s="51">
        <v>0.26</v>
      </c>
      <c r="AK24" s="51">
        <v>7.35</v>
      </c>
      <c r="AL24" s="52">
        <v>0.62</v>
      </c>
      <c r="AM24" s="81">
        <v>0</v>
      </c>
      <c r="AN24" s="51">
        <v>0.22</v>
      </c>
      <c r="AO24" s="51">
        <v>0</v>
      </c>
      <c r="AP24" s="51">
        <v>3.2</v>
      </c>
      <c r="AQ24" s="51">
        <v>1.3</v>
      </c>
      <c r="AR24" s="51">
        <v>0</v>
      </c>
      <c r="AS24" s="51">
        <v>0.1</v>
      </c>
      <c r="AT24" s="51">
        <v>0</v>
      </c>
      <c r="AU24" s="51">
        <v>0.7</v>
      </c>
      <c r="AV24" s="51">
        <v>0.51</v>
      </c>
      <c r="AW24" s="51">
        <v>0</v>
      </c>
      <c r="AX24" s="51">
        <v>0.6</v>
      </c>
      <c r="AY24" s="51">
        <v>0.3</v>
      </c>
      <c r="AZ24" s="51">
        <v>1.1</v>
      </c>
      <c r="BA24" s="51">
        <v>0.3</v>
      </c>
      <c r="BB24" s="51">
        <v>0.2</v>
      </c>
      <c r="BC24" s="51">
        <v>0</v>
      </c>
      <c r="BD24" s="51">
        <v>0</v>
      </c>
      <c r="BE24" s="51">
        <v>1.5</v>
      </c>
      <c r="BF24" s="51">
        <v>0</v>
      </c>
      <c r="BG24" s="51">
        <v>0.3</v>
      </c>
      <c r="BH24" s="52">
        <v>1.2</v>
      </c>
      <c r="BI24" s="51"/>
      <c r="BK24" s="65">
        <f>+BK70/$BK$72</f>
        <v>0.012551778769553042</v>
      </c>
      <c r="BL24" s="30"/>
      <c r="BM24" s="65">
        <f>+BM70/$BM$72</f>
        <v>0.0015572252971443187</v>
      </c>
      <c r="BN24" s="65">
        <f>+BN70/$BN$72</f>
        <v>0.02210530176835528</v>
      </c>
    </row>
    <row r="25" spans="1:66" ht="12.75">
      <c r="A25" s="33" t="s">
        <v>469</v>
      </c>
      <c r="B25" s="101">
        <v>7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0.9</v>
      </c>
      <c r="K25" s="51">
        <v>0</v>
      </c>
      <c r="L25" s="51">
        <v>0</v>
      </c>
      <c r="M25" s="51">
        <v>0</v>
      </c>
      <c r="N25" s="52">
        <v>0</v>
      </c>
      <c r="O25" s="52">
        <v>31.8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2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2">
        <v>0</v>
      </c>
      <c r="AH25" s="52">
        <v>0</v>
      </c>
      <c r="AI25" s="52">
        <v>0</v>
      </c>
      <c r="AJ25" s="51">
        <v>0</v>
      </c>
      <c r="AK25" s="51">
        <v>0</v>
      </c>
      <c r="AL25" s="52">
        <v>0</v>
      </c>
      <c r="AM25" s="8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2">
        <v>0</v>
      </c>
      <c r="BI25" s="51"/>
      <c r="BK25" s="65">
        <f>+BK71/$BK$72</f>
        <v>0.0005925612654867409</v>
      </c>
      <c r="BL25" s="30"/>
      <c r="BM25" s="65">
        <f>+BM71/$BM$72</f>
        <v>0</v>
      </c>
      <c r="BN25" s="65">
        <f>+BN71/$BN$72</f>
        <v>0.0011074569083369546</v>
      </c>
    </row>
    <row r="26" spans="1:66" s="113" customFormat="1" ht="12.75">
      <c r="A26" s="37" t="s">
        <v>231</v>
      </c>
      <c r="B26" s="101"/>
      <c r="C26" s="50">
        <f>SUM(C21:C25)</f>
        <v>100</v>
      </c>
      <c r="D26" s="50">
        <f aca="true" t="shared" si="9" ref="D26:BH26">SUM(D21:D25)</f>
        <v>100</v>
      </c>
      <c r="E26" s="50">
        <f t="shared" si="9"/>
        <v>100</v>
      </c>
      <c r="F26" s="50">
        <f t="shared" si="9"/>
        <v>100</v>
      </c>
      <c r="G26" s="50">
        <f t="shared" si="9"/>
        <v>100</v>
      </c>
      <c r="H26" s="50">
        <f t="shared" si="9"/>
        <v>100</v>
      </c>
      <c r="I26" s="50">
        <f t="shared" si="9"/>
        <v>100</v>
      </c>
      <c r="J26" s="50">
        <f t="shared" si="9"/>
        <v>100.00000000000001</v>
      </c>
      <c r="K26" s="50">
        <f t="shared" si="9"/>
        <v>100</v>
      </c>
      <c r="L26" s="50">
        <f t="shared" si="9"/>
        <v>100.00000000000001</v>
      </c>
      <c r="M26" s="50">
        <f t="shared" si="9"/>
        <v>100</v>
      </c>
      <c r="N26" s="50">
        <f t="shared" si="9"/>
        <v>100</v>
      </c>
      <c r="O26" s="31">
        <f t="shared" si="9"/>
        <v>100</v>
      </c>
      <c r="P26" s="50">
        <f t="shared" si="9"/>
        <v>100.00000000000001</v>
      </c>
      <c r="Q26" s="50">
        <f t="shared" si="9"/>
        <v>100</v>
      </c>
      <c r="R26" s="50">
        <f t="shared" si="9"/>
        <v>100</v>
      </c>
      <c r="S26" s="50">
        <f t="shared" si="9"/>
        <v>100.00000000000001</v>
      </c>
      <c r="T26" s="50">
        <f t="shared" si="9"/>
        <v>99.99999999999999</v>
      </c>
      <c r="U26" s="50">
        <f t="shared" si="9"/>
        <v>100</v>
      </c>
      <c r="V26" s="50">
        <f t="shared" si="9"/>
        <v>100</v>
      </c>
      <c r="W26" s="50">
        <f t="shared" si="9"/>
        <v>100</v>
      </c>
      <c r="X26" s="50">
        <f t="shared" si="9"/>
        <v>100</v>
      </c>
      <c r="Y26" s="50">
        <f t="shared" si="9"/>
        <v>100</v>
      </c>
      <c r="Z26" s="50">
        <f t="shared" si="9"/>
        <v>100.00000000000001</v>
      </c>
      <c r="AA26" s="50">
        <f t="shared" si="9"/>
        <v>100</v>
      </c>
      <c r="AB26" s="50">
        <f t="shared" si="9"/>
        <v>100</v>
      </c>
      <c r="AC26" s="50">
        <f t="shared" si="9"/>
        <v>100</v>
      </c>
      <c r="AD26" s="50">
        <f t="shared" si="9"/>
        <v>100</v>
      </c>
      <c r="AE26" s="50">
        <f t="shared" si="9"/>
        <v>100</v>
      </c>
      <c r="AF26" s="50">
        <f t="shared" si="9"/>
        <v>100.00000000000001</v>
      </c>
      <c r="AG26" s="31">
        <f t="shared" si="9"/>
        <v>100</v>
      </c>
      <c r="AH26" s="31">
        <f t="shared" si="9"/>
        <v>99.9</v>
      </c>
      <c r="AI26" s="31">
        <f t="shared" si="9"/>
        <v>100.1</v>
      </c>
      <c r="AJ26" s="50">
        <f t="shared" si="9"/>
        <v>100</v>
      </c>
      <c r="AK26" s="50">
        <f t="shared" si="9"/>
        <v>99.99999999999999</v>
      </c>
      <c r="AL26" s="50">
        <f t="shared" si="9"/>
        <v>100</v>
      </c>
      <c r="AM26" s="50">
        <f t="shared" si="9"/>
        <v>100</v>
      </c>
      <c r="AN26" s="50">
        <f t="shared" si="9"/>
        <v>100</v>
      </c>
      <c r="AO26" s="50">
        <f t="shared" si="9"/>
        <v>100</v>
      </c>
      <c r="AP26" s="50">
        <f t="shared" si="9"/>
        <v>100</v>
      </c>
      <c r="AQ26" s="50">
        <f t="shared" si="9"/>
        <v>100</v>
      </c>
      <c r="AR26" s="50">
        <f t="shared" si="9"/>
        <v>100.00000000000001</v>
      </c>
      <c r="AS26" s="50">
        <f t="shared" si="9"/>
        <v>100</v>
      </c>
      <c r="AT26" s="50">
        <f t="shared" si="9"/>
        <v>100</v>
      </c>
      <c r="AU26" s="50">
        <f t="shared" si="9"/>
        <v>100.00000000000001</v>
      </c>
      <c r="AV26" s="50">
        <f t="shared" si="9"/>
        <v>100.00000000000001</v>
      </c>
      <c r="AW26" s="50">
        <f t="shared" si="9"/>
        <v>100</v>
      </c>
      <c r="AX26" s="50">
        <f t="shared" si="9"/>
        <v>99.99999999999999</v>
      </c>
      <c r="AY26" s="50">
        <f t="shared" si="9"/>
        <v>99.98</v>
      </c>
      <c r="AZ26" s="50">
        <f t="shared" si="9"/>
        <v>100</v>
      </c>
      <c r="BA26" s="50">
        <f t="shared" si="9"/>
        <v>100</v>
      </c>
      <c r="BB26" s="50">
        <f t="shared" si="9"/>
        <v>100</v>
      </c>
      <c r="BC26" s="50">
        <f t="shared" si="9"/>
        <v>100</v>
      </c>
      <c r="BD26" s="50">
        <f t="shared" si="9"/>
        <v>100</v>
      </c>
      <c r="BE26" s="50">
        <f t="shared" si="9"/>
        <v>100</v>
      </c>
      <c r="BF26" s="50">
        <f t="shared" si="9"/>
        <v>100</v>
      </c>
      <c r="BG26" s="50">
        <f t="shared" si="9"/>
        <v>100</v>
      </c>
      <c r="BH26" s="50">
        <f t="shared" si="9"/>
        <v>100.00000000000001</v>
      </c>
      <c r="BI26" s="112"/>
      <c r="BK26" s="115">
        <f>SUM(BK21:BK25)</f>
        <v>1.0000000000000002</v>
      </c>
      <c r="BL26" s="115"/>
      <c r="BM26" s="115">
        <f>SUM(BM21:BM25)</f>
        <v>1.0000000000000002</v>
      </c>
      <c r="BN26" s="115">
        <f>SUM(BN21:BN25)</f>
        <v>0.9999999999999999</v>
      </c>
    </row>
    <row r="27" spans="1:66" ht="21" customHeight="1">
      <c r="A27" s="33" t="s">
        <v>470</v>
      </c>
      <c r="B27" s="101">
        <v>8</v>
      </c>
      <c r="C27" s="55">
        <f>+'4.1. Samtryggingard.'!B21/'4.1. Samtryggingard.'!B14</f>
        <v>0.6418931649905182</v>
      </c>
      <c r="D27" s="55">
        <f>+'4.1. Samtryggingard.'!C21/'4.1. Samtryggingard.'!C14</f>
        <v>0.015769913086956022</v>
      </c>
      <c r="E27" s="55">
        <f>+'4.1. Samtryggingard.'!D21/'4.1. Samtryggingard.'!D14</f>
        <v>0.8167135845879033</v>
      </c>
      <c r="F27" s="55">
        <f>+'4.1. Samtryggingard.'!E21/'4.1. Samtryggingard.'!E14</f>
        <v>0.813992496137718</v>
      </c>
      <c r="G27" s="55">
        <f>+'4.1. Samtryggingard.'!F21/'4.1. Samtryggingard.'!F14</f>
        <v>0.3075572784385705</v>
      </c>
      <c r="H27" s="55">
        <f>+'4.1. Samtryggingard.'!G21/'4.1. Samtryggingard.'!G14</f>
        <v>0.6955787083505606</v>
      </c>
      <c r="I27" s="55">
        <f>+'4.1. Samtryggingard.'!H21/'4.1. Samtryggingard.'!H14</f>
        <v>0.710388755250106</v>
      </c>
      <c r="J27" s="55">
        <f>+'4.1. Samtryggingard.'!I21/'4.1. Samtryggingard.'!I14</f>
        <v>0.6556987946587755</v>
      </c>
      <c r="K27" s="55">
        <f>+'4.1. Samtryggingard.'!J21/'4.1. Samtryggingard.'!J14</f>
        <v>0.0049178927222706375</v>
      </c>
      <c r="L27" s="55">
        <f>+'4.1. Samtryggingard.'!K21/'4.1. Samtryggingard.'!K14</f>
        <v>0.6982326168677153</v>
      </c>
      <c r="M27" s="55">
        <f>+'4.1. Samtryggingard.'!L21/'4.1. Samtryggingard.'!L14</f>
        <v>0.20396154981895967</v>
      </c>
      <c r="N27" s="55">
        <f>+'4.1. Samtryggingard.'!M21/'4.1. Samtryggingard.'!M14</f>
        <v>0.017000941330276905</v>
      </c>
      <c r="O27" s="55">
        <f>+'4.1. Samtryggingard.'!N21/'4.1. Samtryggingard.'!N14</f>
        <v>0.009391782785113956</v>
      </c>
      <c r="P27" s="55">
        <f>+'4.1. Samtryggingard.'!O21/'4.1. Samtryggingard.'!O14</f>
        <v>0.18571029232300984</v>
      </c>
      <c r="Q27" s="55">
        <f>+'4.1. Samtryggingard.'!P21/'4.1. Samtryggingard.'!P14</f>
        <v>1.7199744091816753</v>
      </c>
      <c r="R27" s="55">
        <f>+'4.1. Samtryggingard.'!Q21/'4.1. Samtryggingard.'!Q14</f>
        <v>0.04407335756177584</v>
      </c>
      <c r="S27" s="55">
        <f>+'4.1. Samtryggingard.'!R21/'4.1. Samtryggingard.'!R14</f>
        <v>2.31903112990672</v>
      </c>
      <c r="T27" s="55">
        <f>+'4.1. Samtryggingard.'!S21/'4.1. Samtryggingard.'!S14</f>
        <v>0.015306878024796668</v>
      </c>
      <c r="U27" s="55">
        <f>+'4.1. Samtryggingard.'!T21/'4.1. Samtryggingard.'!T14</f>
        <v>0.468456836461126</v>
      </c>
      <c r="V27" s="55">
        <f>+'4.1. Samtryggingard.'!U21/'4.1. Samtryggingard.'!U14</f>
        <v>0.4295488004415281</v>
      </c>
      <c r="W27" s="55">
        <f>+'4.1. Samtryggingard.'!V21/'4.1. Samtryggingard.'!V14</f>
        <v>0.628022219982067</v>
      </c>
      <c r="X27" s="55"/>
      <c r="Y27" s="55">
        <f>+'4.1. Samtryggingard.'!X21/'4.1. Samtryggingard.'!X14</f>
        <v>0.1270574628576228</v>
      </c>
      <c r="Z27" s="55">
        <f>+'4.1. Samtryggingard.'!Y21/'4.1. Samtryggingard.'!Y14</f>
        <v>0.5827010639686759</v>
      </c>
      <c r="AA27" s="55">
        <f>+'4.1. Samtryggingard.'!Z21/'4.1. Samtryggingard.'!Z14</f>
        <v>0.4398085109432556</v>
      </c>
      <c r="AB27" s="55">
        <f>+'4.1. Samtryggingard.'!AA21/'4.1. Samtryggingard.'!AA14</f>
        <v>0.6819737834471876</v>
      </c>
      <c r="AC27" s="55">
        <f>+'4.1. Samtryggingard.'!AB21/'4.1. Samtryggingard.'!AB14</f>
        <v>1.5741841356581592</v>
      </c>
      <c r="AD27" s="55">
        <f>+'4.1. Samtryggingard.'!AC21/'4.1. Samtryggingard.'!AC14</f>
        <v>0.1841527491793192</v>
      </c>
      <c r="AE27" s="55">
        <f>+'4.1. Samtryggingard.'!AD21/'4.1. Samtryggingard.'!AD14</f>
        <v>0.6298372701232928</v>
      </c>
      <c r="AF27" s="55">
        <f>+'4.1. Samtryggingard.'!AE21/'4.1. Samtryggingard.'!AE14</f>
        <v>0.6396856519756805</v>
      </c>
      <c r="AG27" s="55">
        <f>+'4.1. Samtryggingard.'!AF21/'4.1. Samtryggingard.'!AF14</f>
        <v>0.03082771018417396</v>
      </c>
      <c r="AH27" s="55">
        <f>+'4.1. Samtryggingard.'!AG21/'4.1. Samtryggingard.'!AG14</f>
        <v>0.016501093148735737</v>
      </c>
      <c r="AI27" s="55">
        <f>+'4.1. Samtryggingard.'!AH21/'4.1. Samtryggingard.'!AH14</f>
        <v>0.01279098525365567</v>
      </c>
      <c r="AJ27" s="55">
        <f>+'4.1. Samtryggingard.'!AI21/'4.1. Samtryggingard.'!AI14</f>
        <v>2.247605558997964</v>
      </c>
      <c r="AK27" s="55">
        <f>+'4.1. Samtryggingard.'!AJ21/'4.1. Samtryggingard.'!AJ14</f>
        <v>0.5400514440510339</v>
      </c>
      <c r="AL27" s="55">
        <f>+'4.1. Samtryggingard.'!AK21/'4.1. Samtryggingard.'!AK14</f>
        <v>0.011707869489789519</v>
      </c>
      <c r="AM27" s="55">
        <f>+'4.1. Samtryggingard.'!AL21/'4.1. Samtryggingard.'!AL14</f>
        <v>0.3059586580187579</v>
      </c>
      <c r="AN27" s="315" t="s">
        <v>506</v>
      </c>
      <c r="AO27" s="315" t="s">
        <v>506</v>
      </c>
      <c r="AP27" s="55">
        <f>+'4.1. Samtryggingard.'!AO21/'4.1. Samtryggingard.'!AO14</f>
        <v>0.5462357254768943</v>
      </c>
      <c r="AQ27" s="55">
        <f>+'4.1. Samtryggingard.'!AP21/'4.1. Samtryggingard.'!AP14</f>
        <v>0.6309841791658105</v>
      </c>
      <c r="AR27" s="315" t="s">
        <v>506</v>
      </c>
      <c r="AS27" s="55">
        <f>+'4.1. Samtryggingard.'!AR21/'4.1. Samtryggingard.'!AR14</f>
        <v>0.9729324952172724</v>
      </c>
      <c r="AT27" s="55">
        <f>+'4.1. Samtryggingard.'!AS21/'4.1. Samtryggingard.'!AS14</f>
        <v>0.011491435050409095</v>
      </c>
      <c r="AU27" s="55">
        <f>+'4.1. Samtryggingard.'!AT21/'4.1. Samtryggingard.'!AT14</f>
        <v>0.8525734734277448</v>
      </c>
      <c r="AV27" s="315" t="s">
        <v>506</v>
      </c>
      <c r="AW27" s="315" t="s">
        <v>506</v>
      </c>
      <c r="AX27" s="55">
        <f>+'4.1. Samtryggingard.'!AW21/'4.1. Samtryggingard.'!AW14</f>
        <v>1.336241295673265</v>
      </c>
      <c r="AY27" s="55">
        <f>+'4.1. Samtryggingard.'!AX21/'4.1. Samtryggingard.'!AX14</f>
        <v>3.113584288052373</v>
      </c>
      <c r="AZ27" s="315" t="s">
        <v>506</v>
      </c>
      <c r="BA27" s="315" t="s">
        <v>506</v>
      </c>
      <c r="BB27" s="55">
        <f>+'4.1. Samtryggingard.'!BA21/'4.1. Samtryggingard.'!BA14</f>
        <v>0.9794291554128038</v>
      </c>
      <c r="BC27" s="315" t="s">
        <v>506</v>
      </c>
      <c r="BD27" s="315" t="s">
        <v>506</v>
      </c>
      <c r="BE27" s="55">
        <f>+'4.1. Samtryggingard.'!BD21/'4.1. Samtryggingard.'!BD14</f>
        <v>1.1435114024906678</v>
      </c>
      <c r="BF27" s="55">
        <f>+'4.1. Samtryggingard.'!BE21/'4.1. Samtryggingard.'!BE14</f>
        <v>1.185876490769482</v>
      </c>
      <c r="BG27" s="315" t="s">
        <v>506</v>
      </c>
      <c r="BH27" s="55">
        <f>+'4.1. Samtryggingard.'!BG21/'4.1. Samtryggingard.'!BG14</f>
        <v>1.945645346044415</v>
      </c>
      <c r="BI27" s="315" t="s">
        <v>506</v>
      </c>
      <c r="BJ27" s="53"/>
      <c r="BK27" s="53">
        <f>+'4.1. Samtryggingard.'!BJ21/'4.1. Samtryggingard.'!BJ14</f>
        <v>0.43236159000256147</v>
      </c>
      <c r="BL27" s="53"/>
      <c r="BM27" s="53">
        <f>+'4.1. Samtryggingard.'!BL21/'4.1. Samtryggingard.'!BL14</f>
        <v>0.5180060297217003</v>
      </c>
      <c r="BN27" s="53">
        <f>+'4.1. Samtryggingard.'!BM21/'4.1. Samtryggingard.'!BM14</f>
        <v>0.37753911210696656</v>
      </c>
    </row>
    <row r="28" spans="1:66" ht="12.75">
      <c r="A28" s="33"/>
      <c r="B28" s="101"/>
      <c r="C28" s="79"/>
      <c r="D28" s="53"/>
      <c r="E28" s="53"/>
      <c r="F28" s="53"/>
      <c r="G28" s="50"/>
      <c r="H28" s="53"/>
      <c r="I28" s="53"/>
      <c r="J28" s="53"/>
      <c r="L28" s="53"/>
      <c r="M28" s="53"/>
      <c r="N28" s="49"/>
      <c r="O28" s="55"/>
      <c r="P28" s="53"/>
      <c r="Q28" s="53"/>
      <c r="R28" s="2"/>
      <c r="S28" s="53"/>
      <c r="T28" s="2"/>
      <c r="U28" s="53"/>
      <c r="V28" s="55"/>
      <c r="W28" s="53"/>
      <c r="X28" s="53"/>
      <c r="Y28" s="54"/>
      <c r="Z28" s="50"/>
      <c r="AB28" s="53"/>
      <c r="AD28" s="50"/>
      <c r="AF28" s="50"/>
      <c r="AG28" s="54"/>
      <c r="AH28" s="54"/>
      <c r="AI28" s="79"/>
      <c r="AJ28" s="53"/>
      <c r="AK28" s="50"/>
      <c r="AL28" s="55"/>
      <c r="AM28" s="196"/>
      <c r="AN28" s="77"/>
      <c r="AO28" s="78"/>
      <c r="AP28" s="53"/>
      <c r="AQ28" s="50"/>
      <c r="AR28" s="204"/>
      <c r="AS28" s="50"/>
      <c r="AT28" s="53"/>
      <c r="AU28" s="53"/>
      <c r="AV28" s="77"/>
      <c r="AW28" s="204"/>
      <c r="AX28" s="184"/>
      <c r="AY28" s="50"/>
      <c r="AZ28" s="204"/>
      <c r="BA28" s="204"/>
      <c r="BB28" s="50"/>
      <c r="BC28" s="204"/>
      <c r="BD28" s="204"/>
      <c r="BE28" s="50"/>
      <c r="BF28" s="50"/>
      <c r="BG28" s="204"/>
      <c r="BI28" s="54"/>
      <c r="BK28" s="53"/>
      <c r="BL28" s="53"/>
      <c r="BM28" s="16"/>
      <c r="BN28" s="16"/>
    </row>
    <row r="29" spans="1:66" s="98" customFormat="1" ht="17.25" customHeight="1">
      <c r="A29" s="122" t="s">
        <v>462</v>
      </c>
      <c r="B29" s="316">
        <v>9</v>
      </c>
      <c r="C29" s="55">
        <v>-0.607</v>
      </c>
      <c r="D29" s="56">
        <v>-0.028</v>
      </c>
      <c r="E29" s="317">
        <v>-0.908</v>
      </c>
      <c r="F29" s="56">
        <v>-0.929</v>
      </c>
      <c r="G29" s="56">
        <v>-0.068</v>
      </c>
      <c r="H29" s="56">
        <v>0.015</v>
      </c>
      <c r="I29" s="56">
        <v>-0.022</v>
      </c>
      <c r="J29" s="56">
        <v>-0.086</v>
      </c>
      <c r="K29" s="186">
        <v>0.012</v>
      </c>
      <c r="L29" s="183">
        <v>-0.03</v>
      </c>
      <c r="M29" s="56">
        <v>-0.069</v>
      </c>
      <c r="N29" s="55">
        <v>0.005</v>
      </c>
      <c r="O29" s="55">
        <v>0.039</v>
      </c>
      <c r="P29" s="56">
        <v>0.064</v>
      </c>
      <c r="Q29" s="56">
        <v>-0.0596</v>
      </c>
      <c r="R29" s="56">
        <v>-0.016</v>
      </c>
      <c r="S29" s="56">
        <v>-0.041</v>
      </c>
      <c r="T29" s="2">
        <v>8.6</v>
      </c>
      <c r="U29" s="56">
        <v>-0.032</v>
      </c>
      <c r="V29" s="56">
        <v>0.001</v>
      </c>
      <c r="W29" s="56">
        <v>-0.037</v>
      </c>
      <c r="X29" s="310" t="s">
        <v>506</v>
      </c>
      <c r="Y29" s="55">
        <v>-0.069</v>
      </c>
      <c r="Z29" s="56">
        <v>-0.081</v>
      </c>
      <c r="AA29" s="195">
        <v>-0.592</v>
      </c>
      <c r="AB29" s="56">
        <v>-0.037</v>
      </c>
      <c r="AC29" s="55">
        <v>-0.0716</v>
      </c>
      <c r="AD29" s="56">
        <v>-0.701</v>
      </c>
      <c r="AE29" s="56">
        <v>-0.026</v>
      </c>
      <c r="AF29" s="56">
        <v>-0.035</v>
      </c>
      <c r="AG29" s="55">
        <v>0.076</v>
      </c>
      <c r="AH29" s="55">
        <v>-0.051</v>
      </c>
      <c r="AI29" s="55">
        <v>0.045</v>
      </c>
      <c r="AJ29" s="56">
        <v>0.052</v>
      </c>
      <c r="AK29" s="56">
        <v>-0.026</v>
      </c>
      <c r="AL29" s="55">
        <v>0.052</v>
      </c>
      <c r="AM29" s="78" t="s">
        <v>506</v>
      </c>
      <c r="AN29" s="310" t="s">
        <v>506</v>
      </c>
      <c r="AO29" s="78" t="s">
        <v>506</v>
      </c>
      <c r="AP29" s="56">
        <v>-0.009</v>
      </c>
      <c r="AQ29" s="56">
        <v>-0.006</v>
      </c>
      <c r="AR29" s="310" t="s">
        <v>506</v>
      </c>
      <c r="AS29" s="55">
        <v>-0.558</v>
      </c>
      <c r="AT29" s="56">
        <v>0.069</v>
      </c>
      <c r="AU29" s="56">
        <v>-0.667</v>
      </c>
      <c r="AV29" s="310" t="s">
        <v>506</v>
      </c>
      <c r="AW29" s="310" t="s">
        <v>506</v>
      </c>
      <c r="AX29" s="183">
        <v>-0.76</v>
      </c>
      <c r="AY29" s="56">
        <v>-0.682</v>
      </c>
      <c r="AZ29" s="78" t="s">
        <v>506</v>
      </c>
      <c r="BA29" s="315" t="s">
        <v>506</v>
      </c>
      <c r="BB29" s="56">
        <v>-0.772</v>
      </c>
      <c r="BC29" s="78" t="s">
        <v>506</v>
      </c>
      <c r="BD29" s="78" t="s">
        <v>506</v>
      </c>
      <c r="BE29" s="56">
        <v>-0.659</v>
      </c>
      <c r="BF29" s="56">
        <v>-0.804</v>
      </c>
      <c r="BG29" s="310" t="s">
        <v>506</v>
      </c>
      <c r="BH29" s="54">
        <v>-0.938</v>
      </c>
      <c r="BI29" s="55"/>
      <c r="BK29" s="56"/>
      <c r="BL29" s="56"/>
      <c r="BM29" s="16"/>
      <c r="BN29" s="16"/>
    </row>
    <row r="30" spans="1:66" s="98" customFormat="1" ht="16.5" customHeight="1">
      <c r="A30" s="122" t="s">
        <v>463</v>
      </c>
      <c r="B30" s="316">
        <v>10</v>
      </c>
      <c r="C30" s="55">
        <v>-0.612</v>
      </c>
      <c r="D30" s="56">
        <v>0.348</v>
      </c>
      <c r="E30" s="317">
        <v>-0.956</v>
      </c>
      <c r="F30" s="56">
        <v>-0.964</v>
      </c>
      <c r="G30" s="56">
        <v>0.152</v>
      </c>
      <c r="H30" s="56">
        <v>0.154</v>
      </c>
      <c r="I30" s="56">
        <v>0.092</v>
      </c>
      <c r="J30" s="56">
        <v>-0.011</v>
      </c>
      <c r="K30" s="186">
        <v>0.161</v>
      </c>
      <c r="L30" s="183">
        <v>0</v>
      </c>
      <c r="M30" s="56">
        <v>0.215</v>
      </c>
      <c r="N30" s="56">
        <v>0.046</v>
      </c>
      <c r="O30" s="55">
        <v>0.131</v>
      </c>
      <c r="P30" s="56">
        <v>0.103</v>
      </c>
      <c r="Q30" s="56">
        <v>0.002</v>
      </c>
      <c r="R30" s="56">
        <v>0.423</v>
      </c>
      <c r="S30" s="56">
        <v>-0.005</v>
      </c>
      <c r="T30" s="2">
        <v>24.3</v>
      </c>
      <c r="U30" s="56">
        <v>-0.029</v>
      </c>
      <c r="V30" s="56">
        <v>-0.031</v>
      </c>
      <c r="W30" s="56">
        <v>0.046</v>
      </c>
      <c r="X30" s="56">
        <v>0.019</v>
      </c>
      <c r="Y30" s="55">
        <v>-0.18</v>
      </c>
      <c r="Z30" s="56">
        <v>-0.06</v>
      </c>
      <c r="AA30" s="195">
        <v>-0.5883877262676092</v>
      </c>
      <c r="AB30" s="56">
        <v>0.11</v>
      </c>
      <c r="AC30" s="55">
        <v>-0.03045</v>
      </c>
      <c r="AD30" s="56">
        <v>-0.723</v>
      </c>
      <c r="AE30" s="56">
        <v>0.044</v>
      </c>
      <c r="AF30" s="56">
        <v>0.071</v>
      </c>
      <c r="AG30" s="55">
        <v>0.38</v>
      </c>
      <c r="AH30" s="55">
        <v>0.277</v>
      </c>
      <c r="AI30" s="55">
        <v>0.177</v>
      </c>
      <c r="AJ30" s="56">
        <v>0.081</v>
      </c>
      <c r="AK30" s="56">
        <v>0.049</v>
      </c>
      <c r="AL30" s="56">
        <v>0.26</v>
      </c>
      <c r="AM30" s="56">
        <v>-0.059</v>
      </c>
      <c r="AN30" s="56">
        <v>0.002</v>
      </c>
      <c r="AO30" s="56">
        <v>0</v>
      </c>
      <c r="AP30" s="56">
        <v>0.088</v>
      </c>
      <c r="AQ30" s="56">
        <v>0.066</v>
      </c>
      <c r="AR30" s="56">
        <v>-0.063</v>
      </c>
      <c r="AS30" s="55">
        <v>-0.514</v>
      </c>
      <c r="AT30" s="56">
        <v>0.361</v>
      </c>
      <c r="AU30" s="56">
        <v>-0.671</v>
      </c>
      <c r="AV30" s="56">
        <v>-0.074</v>
      </c>
      <c r="AW30" s="56">
        <v>0.031</v>
      </c>
      <c r="AX30" s="183">
        <v>-0.8</v>
      </c>
      <c r="AY30" s="56">
        <v>-0.693</v>
      </c>
      <c r="AZ30" s="56">
        <v>0.058</v>
      </c>
      <c r="BA30" s="56">
        <v>-0.068</v>
      </c>
      <c r="BB30" s="56">
        <v>-0.822</v>
      </c>
      <c r="BC30" s="56">
        <v>0.004</v>
      </c>
      <c r="BD30" s="56">
        <v>0.009</v>
      </c>
      <c r="BE30" s="56">
        <v>-0.653</v>
      </c>
      <c r="BF30" s="56">
        <v>-0.82</v>
      </c>
      <c r="BG30" s="56">
        <v>-0.968</v>
      </c>
      <c r="BH30" s="54">
        <v>-0.992</v>
      </c>
      <c r="BI30" s="55"/>
      <c r="BK30" s="56"/>
      <c r="BL30" s="56"/>
      <c r="BM30" s="16"/>
      <c r="BN30" s="16"/>
    </row>
    <row r="31" spans="1:66" ht="12.75">
      <c r="A31" s="104"/>
      <c r="B31" s="31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9"/>
      <c r="BK31" s="50"/>
      <c r="BL31" s="50"/>
      <c r="BM31" s="16"/>
      <c r="BN31" s="16"/>
    </row>
    <row r="32" spans="1:173" s="124" customFormat="1" ht="12.75">
      <c r="A32" s="32" t="s">
        <v>232</v>
      </c>
      <c r="B32" s="161"/>
      <c r="C32" s="120"/>
      <c r="D32" s="120"/>
      <c r="E32" s="168"/>
      <c r="F32" s="168"/>
      <c r="G32" s="121"/>
      <c r="H32" s="121"/>
      <c r="I32" s="121"/>
      <c r="J32" s="121"/>
      <c r="K32" s="121"/>
      <c r="M32" s="121"/>
      <c r="N32" s="172" t="s">
        <v>541</v>
      </c>
      <c r="O32" s="239" t="s">
        <v>552</v>
      </c>
      <c r="P32" s="121"/>
      <c r="Q32" s="172"/>
      <c r="R32" s="121"/>
      <c r="S32" s="121"/>
      <c r="T32" s="121"/>
      <c r="U32" s="121"/>
      <c r="V32" s="121"/>
      <c r="W32" s="121"/>
      <c r="X32" s="121" t="s">
        <v>552</v>
      </c>
      <c r="Y32" s="121"/>
      <c r="Z32" s="121"/>
      <c r="AA32" s="120"/>
      <c r="AB32" s="120"/>
      <c r="AC32" s="121"/>
      <c r="AD32" s="120"/>
      <c r="AE32" s="120"/>
      <c r="AF32" s="121"/>
      <c r="AG32" s="172" t="s">
        <v>541</v>
      </c>
      <c r="AH32" s="120"/>
      <c r="AI32" s="120"/>
      <c r="AJ32" s="121"/>
      <c r="AK32" s="120"/>
      <c r="AL32" s="121"/>
      <c r="AM32" s="120"/>
      <c r="AN32" s="121"/>
      <c r="AO32" s="121"/>
      <c r="AP32" s="120"/>
      <c r="AQ32" s="120"/>
      <c r="AR32" s="120"/>
      <c r="AS32" s="189"/>
      <c r="AT32" s="121" t="s">
        <v>545</v>
      </c>
      <c r="AU32" s="120"/>
      <c r="AV32" s="120"/>
      <c r="AW32" s="120"/>
      <c r="AX32" s="121"/>
      <c r="AY32" s="120"/>
      <c r="AZ32" s="120"/>
      <c r="BA32" s="120"/>
      <c r="BB32" s="120"/>
      <c r="BC32" s="120"/>
      <c r="BD32" s="120"/>
      <c r="BE32" s="120"/>
      <c r="BF32" s="120"/>
      <c r="BG32" s="64"/>
      <c r="BH32" s="327"/>
      <c r="BI32" s="120"/>
      <c r="BK32" s="120"/>
      <c r="BL32" s="120"/>
      <c r="BM32" s="125"/>
      <c r="BN32" s="125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</row>
    <row r="33" spans="1:173" s="124" customFormat="1" ht="11.25">
      <c r="A33" s="200"/>
      <c r="B33" s="161"/>
      <c r="C33" s="120"/>
      <c r="D33" s="120"/>
      <c r="E33" s="120"/>
      <c r="F33" s="120"/>
      <c r="G33" s="121"/>
      <c r="H33" s="121"/>
      <c r="I33" s="121"/>
      <c r="J33" s="121"/>
      <c r="K33" s="121"/>
      <c r="M33" s="121"/>
      <c r="N33" s="172" t="s">
        <v>540</v>
      </c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0"/>
      <c r="AB33" s="120"/>
      <c r="AC33" s="121"/>
      <c r="AD33" s="120"/>
      <c r="AE33" s="120"/>
      <c r="AF33" s="121"/>
      <c r="AG33" s="172" t="s">
        <v>540</v>
      </c>
      <c r="AH33" s="120"/>
      <c r="AI33" s="120"/>
      <c r="AJ33" s="121"/>
      <c r="AK33" s="120"/>
      <c r="AL33" s="120"/>
      <c r="AM33" s="120"/>
      <c r="AN33" s="121"/>
      <c r="AO33" s="121"/>
      <c r="AP33" s="120"/>
      <c r="AQ33" s="120"/>
      <c r="AR33" s="120"/>
      <c r="AS33" s="189"/>
      <c r="AT33" s="121"/>
      <c r="AU33" s="120"/>
      <c r="AV33" s="120"/>
      <c r="AW33" s="120"/>
      <c r="AX33" s="121"/>
      <c r="AY33" s="120"/>
      <c r="AZ33" s="120"/>
      <c r="BA33" s="120"/>
      <c r="BB33" s="120"/>
      <c r="BC33" s="120"/>
      <c r="BD33" s="120"/>
      <c r="BE33" s="120"/>
      <c r="BF33" s="120"/>
      <c r="BG33" s="64"/>
      <c r="BH33" s="327"/>
      <c r="BI33" s="120"/>
      <c r="BK33" s="120"/>
      <c r="BL33" s="120"/>
      <c r="BM33" s="125"/>
      <c r="BN33" s="125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</row>
    <row r="34" spans="1:173" s="99" customFormat="1" ht="12.75">
      <c r="A34" s="32"/>
      <c r="B34" s="101"/>
      <c r="D34" s="58"/>
      <c r="E34" s="58"/>
      <c r="F34" s="58"/>
      <c r="G34" s="57"/>
      <c r="H34" s="57"/>
      <c r="I34" s="57"/>
      <c r="J34" s="57"/>
      <c r="K34" s="57"/>
      <c r="M34" s="57"/>
      <c r="N34" s="57"/>
      <c r="O34" s="58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  <c r="AB34" s="58"/>
      <c r="AC34" s="57"/>
      <c r="AD34" s="58"/>
      <c r="AE34" s="58"/>
      <c r="AF34" s="57"/>
      <c r="AG34" s="57"/>
      <c r="AH34" s="58"/>
      <c r="AI34" s="58"/>
      <c r="AJ34" s="57"/>
      <c r="AK34" s="58"/>
      <c r="AL34" s="58"/>
      <c r="AM34" s="58"/>
      <c r="AN34" s="57"/>
      <c r="AO34" s="57"/>
      <c r="AP34" s="58"/>
      <c r="AQ34" s="58"/>
      <c r="AR34" s="58"/>
      <c r="AS34" s="55"/>
      <c r="AT34" s="57"/>
      <c r="AU34" s="58"/>
      <c r="AV34" s="58"/>
      <c r="AW34" s="58"/>
      <c r="AX34" s="57"/>
      <c r="AY34" s="58"/>
      <c r="AZ34" s="58"/>
      <c r="BA34" s="58"/>
      <c r="BB34" s="58"/>
      <c r="BC34" s="58"/>
      <c r="BD34" s="58"/>
      <c r="BE34" s="58"/>
      <c r="BF34" s="58"/>
      <c r="BG34" s="2"/>
      <c r="BH34" s="43"/>
      <c r="BI34" s="58"/>
      <c r="BK34" s="58"/>
      <c r="BL34" s="58"/>
      <c r="BM34" s="59"/>
      <c r="BN34" s="59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</row>
    <row r="35" spans="1:173" s="99" customFormat="1" ht="12.75">
      <c r="A35" s="43"/>
      <c r="B35" s="319"/>
      <c r="D35" s="58"/>
      <c r="E35" s="58"/>
      <c r="F35" s="58"/>
      <c r="G35" s="57"/>
      <c r="H35" s="57"/>
      <c r="I35" s="57"/>
      <c r="J35" s="57"/>
      <c r="K35" s="57"/>
      <c r="M35" s="57"/>
      <c r="N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/>
      <c r="AB35" s="58"/>
      <c r="AC35" s="57"/>
      <c r="AD35" s="58"/>
      <c r="AE35" s="58"/>
      <c r="AF35" s="57"/>
      <c r="AG35" s="57"/>
      <c r="AH35" s="58"/>
      <c r="AI35" s="58"/>
      <c r="AJ35" s="57"/>
      <c r="AK35" s="58"/>
      <c r="AL35" s="58"/>
      <c r="AM35" s="58"/>
      <c r="AN35" s="57"/>
      <c r="AO35" s="57"/>
      <c r="AP35" s="58"/>
      <c r="AQ35" s="58"/>
      <c r="AR35" s="58"/>
      <c r="AS35" s="55"/>
      <c r="AT35" s="57"/>
      <c r="AU35" s="58"/>
      <c r="AV35" s="58"/>
      <c r="AW35" s="58"/>
      <c r="AX35" s="57"/>
      <c r="AY35" s="58"/>
      <c r="AZ35" s="58"/>
      <c r="BA35" s="58"/>
      <c r="BB35" s="58"/>
      <c r="BC35" s="58"/>
      <c r="BD35" s="58"/>
      <c r="BE35" s="58"/>
      <c r="BF35" s="58"/>
      <c r="BG35" s="2"/>
      <c r="BH35" s="43"/>
      <c r="BI35" s="58"/>
      <c r="BK35" s="58"/>
      <c r="BL35" s="58"/>
      <c r="BM35" s="59"/>
      <c r="BN35" s="59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</row>
    <row r="36" spans="1:173" s="156" customFormat="1" ht="12">
      <c r="A36" s="331"/>
      <c r="B36" s="332"/>
      <c r="C36" s="229" t="s">
        <v>475</v>
      </c>
      <c r="D36" s="353"/>
      <c r="E36" s="353"/>
      <c r="F36" s="353"/>
      <c r="G36" s="354"/>
      <c r="H36" s="355"/>
      <c r="I36" s="355"/>
      <c r="J36" s="229" t="s">
        <v>475</v>
      </c>
      <c r="K36" s="355"/>
      <c r="L36" s="355"/>
      <c r="M36" s="355"/>
      <c r="O36" s="354"/>
      <c r="P36" s="354"/>
      <c r="Q36" s="229" t="s">
        <v>475</v>
      </c>
      <c r="R36" s="229"/>
      <c r="S36" s="355"/>
      <c r="T36" s="229"/>
      <c r="U36" s="355"/>
      <c r="V36" s="355"/>
      <c r="W36" s="229" t="s">
        <v>475</v>
      </c>
      <c r="Y36" s="355"/>
      <c r="Z36" s="355"/>
      <c r="AA36" s="353"/>
      <c r="AB36" s="353"/>
      <c r="AC36" s="355"/>
      <c r="AD36" s="229" t="s">
        <v>475</v>
      </c>
      <c r="AF36" s="354"/>
      <c r="AG36" s="355"/>
      <c r="AH36" s="353"/>
      <c r="AI36" s="353"/>
      <c r="AJ36" s="355"/>
      <c r="AK36" s="229" t="s">
        <v>475</v>
      </c>
      <c r="AM36" s="353"/>
      <c r="AN36" s="355"/>
      <c r="AO36" s="355"/>
      <c r="AP36" s="353"/>
      <c r="AQ36" s="354"/>
      <c r="AR36" s="229" t="s">
        <v>475</v>
      </c>
      <c r="AT36" s="355"/>
      <c r="AU36" s="353"/>
      <c r="AV36" s="354"/>
      <c r="AW36" s="353"/>
      <c r="AX36" s="229" t="s">
        <v>475</v>
      </c>
      <c r="AZ36" s="353"/>
      <c r="BA36" s="353"/>
      <c r="BB36" s="353"/>
      <c r="BC36" s="353"/>
      <c r="BD36" s="229" t="s">
        <v>475</v>
      </c>
      <c r="BF36" s="354"/>
      <c r="BG36" s="356"/>
      <c r="BH36" s="331"/>
      <c r="BI36" s="353"/>
      <c r="BJ36" s="229" t="s">
        <v>475</v>
      </c>
      <c r="BL36" s="353"/>
      <c r="BM36" s="357"/>
      <c r="BN36" s="357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  <c r="DN36" s="353"/>
      <c r="DO36" s="353"/>
      <c r="DP36" s="353"/>
      <c r="DQ36" s="353"/>
      <c r="DR36" s="353"/>
      <c r="DS36" s="353"/>
      <c r="DT36" s="353"/>
      <c r="DU36" s="353"/>
      <c r="DV36" s="353"/>
      <c r="DW36" s="353"/>
      <c r="DX36" s="353"/>
      <c r="DY36" s="353"/>
      <c r="DZ36" s="353"/>
      <c r="EA36" s="353"/>
      <c r="EB36" s="353"/>
      <c r="EC36" s="353"/>
      <c r="ED36" s="353"/>
      <c r="EE36" s="353"/>
      <c r="EF36" s="353"/>
      <c r="EG36" s="353"/>
      <c r="EH36" s="353"/>
      <c r="EI36" s="353"/>
      <c r="EJ36" s="353"/>
      <c r="EK36" s="353"/>
      <c r="EL36" s="353"/>
      <c r="EM36" s="353"/>
      <c r="EN36" s="353"/>
      <c r="EO36" s="353"/>
      <c r="EP36" s="353"/>
      <c r="EQ36" s="353"/>
      <c r="ER36" s="353"/>
      <c r="ES36" s="353"/>
      <c r="ET36" s="353"/>
      <c r="EU36" s="353"/>
      <c r="EV36" s="353"/>
      <c r="EW36" s="353"/>
      <c r="EX36" s="353"/>
      <c r="EY36" s="353"/>
      <c r="EZ36" s="353"/>
      <c r="FA36" s="353"/>
      <c r="FB36" s="353"/>
      <c r="FC36" s="353"/>
      <c r="FD36" s="353"/>
      <c r="FE36" s="353"/>
      <c r="FF36" s="353"/>
      <c r="FG36" s="353"/>
      <c r="FH36" s="353"/>
      <c r="FI36" s="353"/>
      <c r="FJ36" s="353"/>
      <c r="FK36" s="353"/>
      <c r="FL36" s="353"/>
      <c r="FM36" s="353"/>
      <c r="FN36" s="353"/>
      <c r="FO36" s="353"/>
      <c r="FP36" s="353"/>
      <c r="FQ36" s="353"/>
    </row>
    <row r="37" spans="1:173" s="156" customFormat="1" ht="12">
      <c r="A37" s="331"/>
      <c r="B37" s="332"/>
      <c r="C37" s="206" t="s">
        <v>501</v>
      </c>
      <c r="D37" s="353"/>
      <c r="E37" s="353"/>
      <c r="F37" s="353"/>
      <c r="G37" s="357"/>
      <c r="H37" s="355"/>
      <c r="I37" s="355"/>
      <c r="J37" s="206" t="s">
        <v>501</v>
      </c>
      <c r="K37" s="355"/>
      <c r="L37" s="355"/>
      <c r="M37" s="355"/>
      <c r="O37" s="357"/>
      <c r="P37" s="357"/>
      <c r="Q37" s="206" t="s">
        <v>501</v>
      </c>
      <c r="R37" s="206"/>
      <c r="S37" s="355"/>
      <c r="T37" s="206"/>
      <c r="U37" s="355"/>
      <c r="V37" s="355"/>
      <c r="W37" s="206" t="s">
        <v>501</v>
      </c>
      <c r="Y37" s="355"/>
      <c r="Z37" s="355"/>
      <c r="AA37" s="353"/>
      <c r="AB37" s="353"/>
      <c r="AC37" s="355"/>
      <c r="AD37" s="206" t="s">
        <v>501</v>
      </c>
      <c r="AF37" s="357"/>
      <c r="AG37" s="355"/>
      <c r="AH37" s="353"/>
      <c r="AI37" s="353"/>
      <c r="AJ37" s="355"/>
      <c r="AK37" s="206" t="s">
        <v>501</v>
      </c>
      <c r="AM37" s="353"/>
      <c r="AN37" s="355"/>
      <c r="AO37" s="355"/>
      <c r="AP37" s="353"/>
      <c r="AQ37" s="357"/>
      <c r="AR37" s="206" t="s">
        <v>501</v>
      </c>
      <c r="AT37" s="355"/>
      <c r="AU37" s="353"/>
      <c r="AV37" s="357"/>
      <c r="AW37" s="353"/>
      <c r="AX37" s="206" t="s">
        <v>501</v>
      </c>
      <c r="AZ37" s="353"/>
      <c r="BA37" s="353"/>
      <c r="BB37" s="353"/>
      <c r="BC37" s="353"/>
      <c r="BD37" s="206" t="s">
        <v>501</v>
      </c>
      <c r="BF37" s="357"/>
      <c r="BG37" s="356"/>
      <c r="BH37" s="331"/>
      <c r="BI37" s="353"/>
      <c r="BJ37" s="206" t="s">
        <v>501</v>
      </c>
      <c r="BL37" s="353"/>
      <c r="BM37" s="357"/>
      <c r="BN37" s="357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3"/>
      <c r="DK37" s="353"/>
      <c r="DL37" s="353"/>
      <c r="DM37" s="353"/>
      <c r="DN37" s="353"/>
      <c r="DO37" s="353"/>
      <c r="DP37" s="353"/>
      <c r="DQ37" s="353"/>
      <c r="DR37" s="353"/>
      <c r="DS37" s="353"/>
      <c r="DT37" s="353"/>
      <c r="DU37" s="353"/>
      <c r="DV37" s="353"/>
      <c r="DW37" s="353"/>
      <c r="DX37" s="353"/>
      <c r="DY37" s="353"/>
      <c r="DZ37" s="353"/>
      <c r="EA37" s="353"/>
      <c r="EB37" s="353"/>
      <c r="EC37" s="353"/>
      <c r="ED37" s="353"/>
      <c r="EE37" s="353"/>
      <c r="EF37" s="353"/>
      <c r="EG37" s="353"/>
      <c r="EH37" s="353"/>
      <c r="EI37" s="353"/>
      <c r="EJ37" s="353"/>
      <c r="EK37" s="353"/>
      <c r="EL37" s="353"/>
      <c r="EM37" s="353"/>
      <c r="EN37" s="353"/>
      <c r="EO37" s="353"/>
      <c r="EP37" s="353"/>
      <c r="EQ37" s="353"/>
      <c r="ER37" s="353"/>
      <c r="ES37" s="353"/>
      <c r="ET37" s="353"/>
      <c r="EU37" s="353"/>
      <c r="EV37" s="353"/>
      <c r="EW37" s="353"/>
      <c r="EX37" s="353"/>
      <c r="EY37" s="353"/>
      <c r="EZ37" s="353"/>
      <c r="FA37" s="353"/>
      <c r="FB37" s="353"/>
      <c r="FC37" s="353"/>
      <c r="FD37" s="353"/>
      <c r="FE37" s="353"/>
      <c r="FF37" s="353"/>
      <c r="FG37" s="353"/>
      <c r="FH37" s="353"/>
      <c r="FI37" s="353"/>
      <c r="FJ37" s="353"/>
      <c r="FK37" s="353"/>
      <c r="FL37" s="353"/>
      <c r="FM37" s="353"/>
      <c r="FN37" s="353"/>
      <c r="FO37" s="353"/>
      <c r="FP37" s="353"/>
      <c r="FQ37" s="353"/>
    </row>
    <row r="38" spans="1:173" s="156" customFormat="1" ht="12">
      <c r="A38" s="331"/>
      <c r="B38" s="332"/>
      <c r="C38" s="206" t="s">
        <v>483</v>
      </c>
      <c r="D38" s="353"/>
      <c r="E38" s="353"/>
      <c r="F38" s="353"/>
      <c r="G38" s="357"/>
      <c r="H38" s="355"/>
      <c r="I38" s="355"/>
      <c r="J38" s="206" t="s">
        <v>483</v>
      </c>
      <c r="K38" s="355"/>
      <c r="L38" s="355"/>
      <c r="M38" s="355"/>
      <c r="O38" s="357"/>
      <c r="P38" s="357"/>
      <c r="Q38" s="206" t="s">
        <v>483</v>
      </c>
      <c r="R38" s="206"/>
      <c r="S38" s="355"/>
      <c r="T38" s="206"/>
      <c r="U38" s="355"/>
      <c r="V38" s="355"/>
      <c r="W38" s="206" t="s">
        <v>483</v>
      </c>
      <c r="Y38" s="355"/>
      <c r="Z38" s="355"/>
      <c r="AA38" s="353"/>
      <c r="AB38" s="353"/>
      <c r="AC38" s="355"/>
      <c r="AD38" s="206" t="s">
        <v>483</v>
      </c>
      <c r="AF38" s="357"/>
      <c r="AG38" s="355"/>
      <c r="AH38" s="353"/>
      <c r="AI38" s="353"/>
      <c r="AJ38" s="355"/>
      <c r="AK38" s="206" t="s">
        <v>483</v>
      </c>
      <c r="AM38" s="353"/>
      <c r="AN38" s="355"/>
      <c r="AO38" s="355"/>
      <c r="AP38" s="353"/>
      <c r="AQ38" s="357"/>
      <c r="AR38" s="206" t="s">
        <v>483</v>
      </c>
      <c r="AT38" s="355"/>
      <c r="AU38" s="353"/>
      <c r="AV38" s="357"/>
      <c r="AW38" s="353"/>
      <c r="AX38" s="206" t="s">
        <v>483</v>
      </c>
      <c r="AZ38" s="353"/>
      <c r="BA38" s="353"/>
      <c r="BB38" s="353"/>
      <c r="BC38" s="353"/>
      <c r="BD38" s="206" t="s">
        <v>483</v>
      </c>
      <c r="BF38" s="357"/>
      <c r="BG38" s="356"/>
      <c r="BH38" s="331"/>
      <c r="BI38" s="353"/>
      <c r="BJ38" s="206" t="s">
        <v>483</v>
      </c>
      <c r="BL38" s="353"/>
      <c r="BM38" s="357"/>
      <c r="BN38" s="357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  <c r="EG38" s="353"/>
      <c r="EH38" s="353"/>
      <c r="EI38" s="353"/>
      <c r="EJ38" s="353"/>
      <c r="EK38" s="353"/>
      <c r="EL38" s="353"/>
      <c r="EM38" s="353"/>
      <c r="EN38" s="353"/>
      <c r="EO38" s="353"/>
      <c r="EP38" s="353"/>
      <c r="EQ38" s="353"/>
      <c r="ER38" s="353"/>
      <c r="ES38" s="353"/>
      <c r="ET38" s="353"/>
      <c r="EU38" s="353"/>
      <c r="EV38" s="353"/>
      <c r="EW38" s="353"/>
      <c r="EX38" s="353"/>
      <c r="EY38" s="353"/>
      <c r="EZ38" s="353"/>
      <c r="FA38" s="353"/>
      <c r="FB38" s="353"/>
      <c r="FC38" s="353"/>
      <c r="FD38" s="353"/>
      <c r="FE38" s="353"/>
      <c r="FF38" s="353"/>
      <c r="FG38" s="353"/>
      <c r="FH38" s="353"/>
      <c r="FI38" s="353"/>
      <c r="FJ38" s="353"/>
      <c r="FK38" s="353"/>
      <c r="FL38" s="353"/>
      <c r="FM38" s="353"/>
      <c r="FN38" s="353"/>
      <c r="FO38" s="353"/>
      <c r="FP38" s="353"/>
      <c r="FQ38" s="353"/>
    </row>
    <row r="39" spans="1:173" s="156" customFormat="1" ht="12">
      <c r="A39" s="331"/>
      <c r="B39" s="332"/>
      <c r="C39" s="206" t="s">
        <v>476</v>
      </c>
      <c r="D39" s="353"/>
      <c r="E39" s="353"/>
      <c r="F39" s="353"/>
      <c r="G39" s="357"/>
      <c r="H39" s="355"/>
      <c r="I39" s="355"/>
      <c r="J39" s="206" t="s">
        <v>476</v>
      </c>
      <c r="K39" s="355"/>
      <c r="L39" s="355"/>
      <c r="M39" s="355"/>
      <c r="O39" s="357"/>
      <c r="P39" s="357"/>
      <c r="Q39" s="206" t="s">
        <v>476</v>
      </c>
      <c r="R39" s="206"/>
      <c r="S39" s="355"/>
      <c r="T39" s="206"/>
      <c r="U39" s="355"/>
      <c r="V39" s="355"/>
      <c r="W39" s="206" t="s">
        <v>476</v>
      </c>
      <c r="Y39" s="355"/>
      <c r="Z39" s="355"/>
      <c r="AA39" s="353"/>
      <c r="AB39" s="353"/>
      <c r="AC39" s="355"/>
      <c r="AD39" s="206" t="s">
        <v>476</v>
      </c>
      <c r="AF39" s="357"/>
      <c r="AG39" s="355"/>
      <c r="AH39" s="353"/>
      <c r="AI39" s="353"/>
      <c r="AJ39" s="355"/>
      <c r="AK39" s="206" t="s">
        <v>476</v>
      </c>
      <c r="AM39" s="353"/>
      <c r="AN39" s="355"/>
      <c r="AO39" s="355"/>
      <c r="AP39" s="353"/>
      <c r="AQ39" s="357"/>
      <c r="AR39" s="206" t="s">
        <v>476</v>
      </c>
      <c r="AT39" s="355"/>
      <c r="AU39" s="353"/>
      <c r="AV39" s="357"/>
      <c r="AW39" s="353"/>
      <c r="AX39" s="206" t="s">
        <v>476</v>
      </c>
      <c r="AZ39" s="353"/>
      <c r="BA39" s="353"/>
      <c r="BB39" s="353"/>
      <c r="BC39" s="353"/>
      <c r="BD39" s="206" t="s">
        <v>476</v>
      </c>
      <c r="BF39" s="357"/>
      <c r="BG39" s="356"/>
      <c r="BH39" s="331"/>
      <c r="BI39" s="353"/>
      <c r="BJ39" s="206" t="s">
        <v>476</v>
      </c>
      <c r="BL39" s="353"/>
      <c r="BM39" s="357"/>
      <c r="BN39" s="357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3"/>
      <c r="DQ39" s="353"/>
      <c r="DR39" s="353"/>
      <c r="DS39" s="353"/>
      <c r="DT39" s="353"/>
      <c r="DU39" s="353"/>
      <c r="DV39" s="353"/>
      <c r="DW39" s="353"/>
      <c r="DX39" s="353"/>
      <c r="DY39" s="353"/>
      <c r="DZ39" s="353"/>
      <c r="EA39" s="353"/>
      <c r="EB39" s="353"/>
      <c r="EC39" s="353"/>
      <c r="ED39" s="353"/>
      <c r="EE39" s="353"/>
      <c r="EF39" s="353"/>
      <c r="EG39" s="353"/>
      <c r="EH39" s="353"/>
      <c r="EI39" s="353"/>
      <c r="EJ39" s="353"/>
      <c r="EK39" s="353"/>
      <c r="EL39" s="353"/>
      <c r="EM39" s="353"/>
      <c r="EN39" s="353"/>
      <c r="EO39" s="353"/>
      <c r="EP39" s="353"/>
      <c r="EQ39" s="353"/>
      <c r="ER39" s="353"/>
      <c r="ES39" s="353"/>
      <c r="ET39" s="353"/>
      <c r="EU39" s="353"/>
      <c r="EV39" s="353"/>
      <c r="EW39" s="353"/>
      <c r="EX39" s="353"/>
      <c r="EY39" s="353"/>
      <c r="EZ39" s="353"/>
      <c r="FA39" s="353"/>
      <c r="FB39" s="353"/>
      <c r="FC39" s="353"/>
      <c r="FD39" s="353"/>
      <c r="FE39" s="353"/>
      <c r="FF39" s="353"/>
      <c r="FG39" s="353"/>
      <c r="FH39" s="353"/>
      <c r="FI39" s="353"/>
      <c r="FJ39" s="353"/>
      <c r="FK39" s="353"/>
      <c r="FL39" s="353"/>
      <c r="FM39" s="353"/>
      <c r="FN39" s="353"/>
      <c r="FO39" s="353"/>
      <c r="FP39" s="353"/>
      <c r="FQ39" s="353"/>
    </row>
    <row r="40" spans="1:173" s="156" customFormat="1" ht="12">
      <c r="A40" s="331"/>
      <c r="B40" s="332"/>
      <c r="C40" s="206" t="s">
        <v>477</v>
      </c>
      <c r="D40" s="353"/>
      <c r="E40" s="353"/>
      <c r="F40" s="353"/>
      <c r="G40" s="357"/>
      <c r="H40" s="355"/>
      <c r="I40" s="355"/>
      <c r="J40" s="206" t="s">
        <v>477</v>
      </c>
      <c r="K40" s="355"/>
      <c r="L40" s="355"/>
      <c r="M40" s="355"/>
      <c r="O40" s="357"/>
      <c r="P40" s="357"/>
      <c r="Q40" s="206" t="s">
        <v>477</v>
      </c>
      <c r="R40" s="206"/>
      <c r="S40" s="355"/>
      <c r="T40" s="206"/>
      <c r="U40" s="355"/>
      <c r="V40" s="355"/>
      <c r="W40" s="206" t="s">
        <v>477</v>
      </c>
      <c r="Y40" s="355"/>
      <c r="Z40" s="355"/>
      <c r="AA40" s="353"/>
      <c r="AB40" s="353"/>
      <c r="AC40" s="355"/>
      <c r="AD40" s="206" t="s">
        <v>477</v>
      </c>
      <c r="AF40" s="357"/>
      <c r="AG40" s="355"/>
      <c r="AH40" s="353"/>
      <c r="AI40" s="353"/>
      <c r="AJ40" s="355"/>
      <c r="AK40" s="206" t="s">
        <v>477</v>
      </c>
      <c r="AM40" s="353"/>
      <c r="AN40" s="355"/>
      <c r="AO40" s="355"/>
      <c r="AP40" s="353"/>
      <c r="AQ40" s="357"/>
      <c r="AR40" s="206" t="s">
        <v>477</v>
      </c>
      <c r="AT40" s="355"/>
      <c r="AU40" s="353"/>
      <c r="AV40" s="357"/>
      <c r="AW40" s="353"/>
      <c r="AX40" s="206" t="s">
        <v>477</v>
      </c>
      <c r="AZ40" s="353"/>
      <c r="BA40" s="353"/>
      <c r="BB40" s="353"/>
      <c r="BC40" s="353"/>
      <c r="BD40" s="206" t="s">
        <v>477</v>
      </c>
      <c r="BF40" s="357"/>
      <c r="BG40" s="356"/>
      <c r="BH40" s="331"/>
      <c r="BI40" s="353"/>
      <c r="BJ40" s="206" t="s">
        <v>477</v>
      </c>
      <c r="BL40" s="353"/>
      <c r="BM40" s="357"/>
      <c r="BN40" s="357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3"/>
      <c r="DQ40" s="353"/>
      <c r="DR40" s="353"/>
      <c r="DS40" s="353"/>
      <c r="DT40" s="353"/>
      <c r="DU40" s="353"/>
      <c r="DV40" s="353"/>
      <c r="DW40" s="353"/>
      <c r="DX40" s="353"/>
      <c r="DY40" s="353"/>
      <c r="DZ40" s="353"/>
      <c r="EA40" s="353"/>
      <c r="EB40" s="353"/>
      <c r="EC40" s="353"/>
      <c r="ED40" s="353"/>
      <c r="EE40" s="353"/>
      <c r="EF40" s="353"/>
      <c r="EG40" s="353"/>
      <c r="EH40" s="353"/>
      <c r="EI40" s="353"/>
      <c r="EJ40" s="353"/>
      <c r="EK40" s="353"/>
      <c r="EL40" s="353"/>
      <c r="EM40" s="353"/>
      <c r="EN40" s="353"/>
      <c r="EO40" s="353"/>
      <c r="EP40" s="353"/>
      <c r="EQ40" s="353"/>
      <c r="ER40" s="353"/>
      <c r="ES40" s="353"/>
      <c r="ET40" s="353"/>
      <c r="EU40" s="353"/>
      <c r="EV40" s="353"/>
      <c r="EW40" s="353"/>
      <c r="EX40" s="353"/>
      <c r="EY40" s="353"/>
      <c r="EZ40" s="353"/>
      <c r="FA40" s="353"/>
      <c r="FB40" s="353"/>
      <c r="FC40" s="353"/>
      <c r="FD40" s="353"/>
      <c r="FE40" s="353"/>
      <c r="FF40" s="353"/>
      <c r="FG40" s="353"/>
      <c r="FH40" s="353"/>
      <c r="FI40" s="353"/>
      <c r="FJ40" s="353"/>
      <c r="FK40" s="353"/>
      <c r="FL40" s="353"/>
      <c r="FM40" s="353"/>
      <c r="FN40" s="353"/>
      <c r="FO40" s="353"/>
      <c r="FP40" s="353"/>
      <c r="FQ40" s="353"/>
    </row>
    <row r="41" spans="1:173" s="156" customFormat="1" ht="12">
      <c r="A41" s="331"/>
      <c r="B41" s="332"/>
      <c r="C41" s="206" t="s">
        <v>478</v>
      </c>
      <c r="D41" s="353"/>
      <c r="E41" s="353"/>
      <c r="F41" s="353"/>
      <c r="G41" s="357"/>
      <c r="H41" s="355"/>
      <c r="I41" s="355"/>
      <c r="J41" s="206" t="s">
        <v>478</v>
      </c>
      <c r="K41" s="355"/>
      <c r="L41" s="355"/>
      <c r="M41" s="355"/>
      <c r="O41" s="357"/>
      <c r="P41" s="357"/>
      <c r="Q41" s="206" t="s">
        <v>478</v>
      </c>
      <c r="R41" s="206"/>
      <c r="S41" s="355"/>
      <c r="T41" s="206"/>
      <c r="U41" s="355"/>
      <c r="V41" s="355"/>
      <c r="W41" s="206" t="s">
        <v>478</v>
      </c>
      <c r="Y41" s="355"/>
      <c r="Z41" s="355"/>
      <c r="AA41" s="353"/>
      <c r="AB41" s="353"/>
      <c r="AC41" s="355"/>
      <c r="AD41" s="206" t="s">
        <v>478</v>
      </c>
      <c r="AF41" s="357"/>
      <c r="AG41" s="355"/>
      <c r="AH41" s="353"/>
      <c r="AI41" s="353"/>
      <c r="AJ41" s="355"/>
      <c r="AK41" s="206" t="s">
        <v>478</v>
      </c>
      <c r="AM41" s="353"/>
      <c r="AN41" s="355"/>
      <c r="AO41" s="355"/>
      <c r="AP41" s="353"/>
      <c r="AQ41" s="357"/>
      <c r="AR41" s="206" t="s">
        <v>478</v>
      </c>
      <c r="AT41" s="355"/>
      <c r="AU41" s="353"/>
      <c r="AV41" s="357"/>
      <c r="AW41" s="353"/>
      <c r="AX41" s="206" t="s">
        <v>478</v>
      </c>
      <c r="AZ41" s="353"/>
      <c r="BA41" s="353"/>
      <c r="BB41" s="353"/>
      <c r="BC41" s="353"/>
      <c r="BD41" s="206" t="s">
        <v>478</v>
      </c>
      <c r="BF41" s="357"/>
      <c r="BG41" s="356"/>
      <c r="BH41" s="331"/>
      <c r="BI41" s="353"/>
      <c r="BJ41" s="206" t="s">
        <v>478</v>
      </c>
      <c r="BL41" s="353"/>
      <c r="BM41" s="357"/>
      <c r="BN41" s="357"/>
      <c r="BO41" s="353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53"/>
      <c r="DQ41" s="353"/>
      <c r="DR41" s="353"/>
      <c r="DS41" s="353"/>
      <c r="DT41" s="353"/>
      <c r="DU41" s="353"/>
      <c r="DV41" s="353"/>
      <c r="DW41" s="353"/>
      <c r="DX41" s="353"/>
      <c r="DY41" s="353"/>
      <c r="DZ41" s="353"/>
      <c r="EA41" s="353"/>
      <c r="EB41" s="353"/>
      <c r="EC41" s="353"/>
      <c r="ED41" s="353"/>
      <c r="EE41" s="353"/>
      <c r="EF41" s="353"/>
      <c r="EG41" s="353"/>
      <c r="EH41" s="353"/>
      <c r="EI41" s="353"/>
      <c r="EJ41" s="353"/>
      <c r="EK41" s="353"/>
      <c r="EL41" s="353"/>
      <c r="EM41" s="353"/>
      <c r="EN41" s="353"/>
      <c r="EO41" s="353"/>
      <c r="EP41" s="353"/>
      <c r="EQ41" s="353"/>
      <c r="ER41" s="353"/>
      <c r="ES41" s="353"/>
      <c r="ET41" s="353"/>
      <c r="EU41" s="353"/>
      <c r="EV41" s="353"/>
      <c r="EW41" s="353"/>
      <c r="EX41" s="353"/>
      <c r="EY41" s="353"/>
      <c r="EZ41" s="353"/>
      <c r="FA41" s="353"/>
      <c r="FB41" s="353"/>
      <c r="FC41" s="353"/>
      <c r="FD41" s="353"/>
      <c r="FE41" s="353"/>
      <c r="FF41" s="353"/>
      <c r="FG41" s="353"/>
      <c r="FH41" s="353"/>
      <c r="FI41" s="353"/>
      <c r="FJ41" s="353"/>
      <c r="FK41" s="353"/>
      <c r="FL41" s="353"/>
      <c r="FM41" s="353"/>
      <c r="FN41" s="353"/>
      <c r="FO41" s="353"/>
      <c r="FP41" s="353"/>
      <c r="FQ41" s="353"/>
    </row>
    <row r="42" spans="1:173" s="156" customFormat="1" ht="12">
      <c r="A42" s="331"/>
      <c r="B42" s="332"/>
      <c r="C42" s="206" t="s">
        <v>502</v>
      </c>
      <c r="D42" s="353"/>
      <c r="E42" s="353"/>
      <c r="F42" s="353"/>
      <c r="G42" s="357"/>
      <c r="H42" s="355"/>
      <c r="I42" s="355"/>
      <c r="J42" s="206" t="s">
        <v>502</v>
      </c>
      <c r="K42" s="355"/>
      <c r="L42" s="355"/>
      <c r="M42" s="355"/>
      <c r="O42" s="357"/>
      <c r="P42" s="357"/>
      <c r="Q42" s="206" t="s">
        <v>502</v>
      </c>
      <c r="R42" s="206"/>
      <c r="S42" s="355"/>
      <c r="T42" s="206"/>
      <c r="U42" s="355"/>
      <c r="V42" s="355"/>
      <c r="W42" s="206" t="s">
        <v>502</v>
      </c>
      <c r="Y42" s="355"/>
      <c r="Z42" s="355"/>
      <c r="AA42" s="353"/>
      <c r="AB42" s="353"/>
      <c r="AC42" s="355"/>
      <c r="AD42" s="206" t="s">
        <v>502</v>
      </c>
      <c r="AF42" s="357"/>
      <c r="AG42" s="355"/>
      <c r="AH42" s="353"/>
      <c r="AI42" s="353"/>
      <c r="AJ42" s="355"/>
      <c r="AK42" s="206" t="s">
        <v>502</v>
      </c>
      <c r="AM42" s="353"/>
      <c r="AN42" s="355"/>
      <c r="AO42" s="355"/>
      <c r="AP42" s="353"/>
      <c r="AQ42" s="357"/>
      <c r="AR42" s="206" t="s">
        <v>502</v>
      </c>
      <c r="AT42" s="355"/>
      <c r="AU42" s="353"/>
      <c r="AV42" s="357"/>
      <c r="AW42" s="353"/>
      <c r="AX42" s="206" t="s">
        <v>502</v>
      </c>
      <c r="AZ42" s="353"/>
      <c r="BA42" s="353"/>
      <c r="BB42" s="353"/>
      <c r="BC42" s="353"/>
      <c r="BD42" s="206" t="s">
        <v>502</v>
      </c>
      <c r="BF42" s="357"/>
      <c r="BG42" s="356"/>
      <c r="BH42" s="331"/>
      <c r="BI42" s="353"/>
      <c r="BJ42" s="206" t="s">
        <v>502</v>
      </c>
      <c r="BL42" s="353"/>
      <c r="BM42" s="357"/>
      <c r="BN42" s="357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3"/>
      <c r="DA42" s="353"/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3"/>
      <c r="DM42" s="353"/>
      <c r="DN42" s="353"/>
      <c r="DO42" s="353"/>
      <c r="DP42" s="353"/>
      <c r="DQ42" s="353"/>
      <c r="DR42" s="353"/>
      <c r="DS42" s="353"/>
      <c r="DT42" s="353"/>
      <c r="DU42" s="353"/>
      <c r="DV42" s="353"/>
      <c r="DW42" s="353"/>
      <c r="DX42" s="353"/>
      <c r="DY42" s="353"/>
      <c r="DZ42" s="353"/>
      <c r="EA42" s="353"/>
      <c r="EB42" s="353"/>
      <c r="EC42" s="353"/>
      <c r="ED42" s="353"/>
      <c r="EE42" s="353"/>
      <c r="EF42" s="353"/>
      <c r="EG42" s="353"/>
      <c r="EH42" s="353"/>
      <c r="EI42" s="353"/>
      <c r="EJ42" s="353"/>
      <c r="EK42" s="353"/>
      <c r="EL42" s="353"/>
      <c r="EM42" s="353"/>
      <c r="EN42" s="353"/>
      <c r="EO42" s="353"/>
      <c r="EP42" s="353"/>
      <c r="EQ42" s="353"/>
      <c r="ER42" s="353"/>
      <c r="ES42" s="353"/>
      <c r="ET42" s="353"/>
      <c r="EU42" s="353"/>
      <c r="EV42" s="353"/>
      <c r="EW42" s="353"/>
      <c r="EX42" s="353"/>
      <c r="EY42" s="353"/>
      <c r="EZ42" s="353"/>
      <c r="FA42" s="353"/>
      <c r="FB42" s="353"/>
      <c r="FC42" s="353"/>
      <c r="FD42" s="353"/>
      <c r="FE42" s="353"/>
      <c r="FF42" s="353"/>
      <c r="FG42" s="353"/>
      <c r="FH42" s="353"/>
      <c r="FI42" s="353"/>
      <c r="FJ42" s="353"/>
      <c r="FK42" s="353"/>
      <c r="FL42" s="353"/>
      <c r="FM42" s="353"/>
      <c r="FN42" s="353"/>
      <c r="FO42" s="353"/>
      <c r="FP42" s="353"/>
      <c r="FQ42" s="353"/>
    </row>
    <row r="43" spans="1:173" s="156" customFormat="1" ht="12">
      <c r="A43" s="331"/>
      <c r="B43" s="332"/>
      <c r="C43" s="206" t="s">
        <v>503</v>
      </c>
      <c r="D43" s="353"/>
      <c r="E43" s="353"/>
      <c r="F43" s="353"/>
      <c r="G43" s="357"/>
      <c r="H43" s="355"/>
      <c r="I43" s="355"/>
      <c r="J43" s="206" t="s">
        <v>503</v>
      </c>
      <c r="K43" s="355"/>
      <c r="L43" s="355"/>
      <c r="M43" s="355"/>
      <c r="O43" s="357"/>
      <c r="P43" s="357"/>
      <c r="Q43" s="206" t="s">
        <v>503</v>
      </c>
      <c r="R43" s="206"/>
      <c r="S43" s="355"/>
      <c r="T43" s="206"/>
      <c r="U43" s="355"/>
      <c r="V43" s="355"/>
      <c r="W43" s="206" t="s">
        <v>503</v>
      </c>
      <c r="Y43" s="355"/>
      <c r="Z43" s="355"/>
      <c r="AA43" s="353"/>
      <c r="AB43" s="353"/>
      <c r="AC43" s="355"/>
      <c r="AD43" s="206" t="s">
        <v>503</v>
      </c>
      <c r="AF43" s="357"/>
      <c r="AG43" s="355"/>
      <c r="AH43" s="353"/>
      <c r="AI43" s="353"/>
      <c r="AJ43" s="355"/>
      <c r="AK43" s="206" t="s">
        <v>503</v>
      </c>
      <c r="AM43" s="353"/>
      <c r="AN43" s="355"/>
      <c r="AO43" s="355"/>
      <c r="AP43" s="353"/>
      <c r="AQ43" s="357"/>
      <c r="AR43" s="206" t="s">
        <v>503</v>
      </c>
      <c r="AT43" s="355"/>
      <c r="AU43" s="353"/>
      <c r="AV43" s="357"/>
      <c r="AW43" s="353"/>
      <c r="AX43" s="206" t="s">
        <v>503</v>
      </c>
      <c r="AZ43" s="353"/>
      <c r="BA43" s="353"/>
      <c r="BB43" s="353"/>
      <c r="BC43" s="353"/>
      <c r="BD43" s="206" t="s">
        <v>503</v>
      </c>
      <c r="BF43" s="357"/>
      <c r="BG43" s="356"/>
      <c r="BH43" s="331"/>
      <c r="BI43" s="353"/>
      <c r="BJ43" s="206" t="s">
        <v>503</v>
      </c>
      <c r="BL43" s="353"/>
      <c r="BM43" s="357"/>
      <c r="BN43" s="357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  <c r="DE43" s="353"/>
      <c r="DF43" s="353"/>
      <c r="DG43" s="353"/>
      <c r="DH43" s="353"/>
      <c r="DI43" s="353"/>
      <c r="DJ43" s="353"/>
      <c r="DK43" s="353"/>
      <c r="DL43" s="353"/>
      <c r="DM43" s="353"/>
      <c r="DN43" s="353"/>
      <c r="DO43" s="353"/>
      <c r="DP43" s="353"/>
      <c r="DQ43" s="353"/>
      <c r="DR43" s="353"/>
      <c r="DS43" s="353"/>
      <c r="DT43" s="353"/>
      <c r="DU43" s="353"/>
      <c r="DV43" s="353"/>
      <c r="DW43" s="353"/>
      <c r="DX43" s="353"/>
      <c r="DY43" s="353"/>
      <c r="DZ43" s="353"/>
      <c r="EA43" s="353"/>
      <c r="EB43" s="353"/>
      <c r="EC43" s="353"/>
      <c r="ED43" s="353"/>
      <c r="EE43" s="353"/>
      <c r="EF43" s="353"/>
      <c r="EG43" s="353"/>
      <c r="EH43" s="353"/>
      <c r="EI43" s="353"/>
      <c r="EJ43" s="353"/>
      <c r="EK43" s="353"/>
      <c r="EL43" s="353"/>
      <c r="EM43" s="353"/>
      <c r="EN43" s="353"/>
      <c r="EO43" s="353"/>
      <c r="EP43" s="353"/>
      <c r="EQ43" s="353"/>
      <c r="ER43" s="353"/>
      <c r="ES43" s="353"/>
      <c r="ET43" s="353"/>
      <c r="EU43" s="353"/>
      <c r="EV43" s="353"/>
      <c r="EW43" s="353"/>
      <c r="EX43" s="353"/>
      <c r="EY43" s="353"/>
      <c r="EZ43" s="353"/>
      <c r="FA43" s="353"/>
      <c r="FB43" s="353"/>
      <c r="FC43" s="353"/>
      <c r="FD43" s="353"/>
      <c r="FE43" s="353"/>
      <c r="FF43" s="353"/>
      <c r="FG43" s="353"/>
      <c r="FH43" s="353"/>
      <c r="FI43" s="353"/>
      <c r="FJ43" s="353"/>
      <c r="FK43" s="353"/>
      <c r="FL43" s="353"/>
      <c r="FM43" s="353"/>
      <c r="FN43" s="353"/>
      <c r="FO43" s="353"/>
      <c r="FP43" s="353"/>
      <c r="FQ43" s="353"/>
    </row>
    <row r="44" spans="1:173" s="156" customFormat="1" ht="12">
      <c r="A44" s="331"/>
      <c r="B44" s="332"/>
      <c r="C44" s="206" t="s">
        <v>479</v>
      </c>
      <c r="D44" s="353"/>
      <c r="E44" s="353"/>
      <c r="F44" s="353"/>
      <c r="G44" s="206"/>
      <c r="H44" s="355"/>
      <c r="I44" s="355"/>
      <c r="J44" s="206" t="s">
        <v>479</v>
      </c>
      <c r="K44" s="355"/>
      <c r="L44" s="355"/>
      <c r="M44" s="355"/>
      <c r="O44" s="206"/>
      <c r="P44" s="206"/>
      <c r="Q44" s="206" t="s">
        <v>479</v>
      </c>
      <c r="R44" s="206"/>
      <c r="S44" s="355"/>
      <c r="T44" s="206"/>
      <c r="U44" s="355"/>
      <c r="V44" s="355"/>
      <c r="W44" s="206" t="s">
        <v>479</v>
      </c>
      <c r="Y44" s="355"/>
      <c r="Z44" s="355"/>
      <c r="AA44" s="353"/>
      <c r="AB44" s="353"/>
      <c r="AC44" s="355"/>
      <c r="AD44" s="206" t="s">
        <v>479</v>
      </c>
      <c r="AF44" s="206"/>
      <c r="AG44" s="355"/>
      <c r="AH44" s="353"/>
      <c r="AI44" s="353"/>
      <c r="AJ44" s="355"/>
      <c r="AK44" s="206" t="s">
        <v>479</v>
      </c>
      <c r="AM44" s="353"/>
      <c r="AN44" s="355"/>
      <c r="AO44" s="355"/>
      <c r="AP44" s="353"/>
      <c r="AQ44" s="206"/>
      <c r="AR44" s="206" t="s">
        <v>479</v>
      </c>
      <c r="AT44" s="355"/>
      <c r="AU44" s="353"/>
      <c r="AV44" s="206"/>
      <c r="AW44" s="353"/>
      <c r="AX44" s="206" t="s">
        <v>479</v>
      </c>
      <c r="AZ44" s="353"/>
      <c r="BA44" s="353"/>
      <c r="BB44" s="353"/>
      <c r="BC44" s="353"/>
      <c r="BD44" s="206" t="s">
        <v>479</v>
      </c>
      <c r="BF44" s="206"/>
      <c r="BG44" s="356"/>
      <c r="BH44" s="331"/>
      <c r="BI44" s="353"/>
      <c r="BJ44" s="206" t="s">
        <v>479</v>
      </c>
      <c r="BL44" s="353"/>
      <c r="BM44" s="357"/>
      <c r="BN44" s="357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  <c r="DN44" s="353"/>
      <c r="DO44" s="353"/>
      <c r="DP44" s="353"/>
      <c r="DQ44" s="353"/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53"/>
      <c r="EE44" s="353"/>
      <c r="EF44" s="353"/>
      <c r="EG44" s="353"/>
      <c r="EH44" s="353"/>
      <c r="EI44" s="353"/>
      <c r="EJ44" s="353"/>
      <c r="EK44" s="353"/>
      <c r="EL44" s="353"/>
      <c r="EM44" s="353"/>
      <c r="EN44" s="353"/>
      <c r="EO44" s="353"/>
      <c r="EP44" s="353"/>
      <c r="EQ44" s="353"/>
      <c r="ER44" s="353"/>
      <c r="ES44" s="353"/>
      <c r="ET44" s="353"/>
      <c r="EU44" s="353"/>
      <c r="EV44" s="353"/>
      <c r="EW44" s="353"/>
      <c r="EX44" s="353"/>
      <c r="EY44" s="353"/>
      <c r="EZ44" s="353"/>
      <c r="FA44" s="353"/>
      <c r="FB44" s="353"/>
      <c r="FC44" s="353"/>
      <c r="FD44" s="353"/>
      <c r="FE44" s="353"/>
      <c r="FF44" s="353"/>
      <c r="FG44" s="353"/>
      <c r="FH44" s="353"/>
      <c r="FI44" s="353"/>
      <c r="FJ44" s="353"/>
      <c r="FK44" s="353"/>
      <c r="FL44" s="353"/>
      <c r="FM44" s="353"/>
      <c r="FN44" s="353"/>
      <c r="FO44" s="353"/>
      <c r="FP44" s="353"/>
      <c r="FQ44" s="353"/>
    </row>
    <row r="45" spans="1:173" s="156" customFormat="1" ht="12">
      <c r="A45" s="331"/>
      <c r="B45" s="332"/>
      <c r="C45" s="206" t="s">
        <v>480</v>
      </c>
      <c r="D45" s="353"/>
      <c r="E45" s="353"/>
      <c r="F45" s="353"/>
      <c r="G45" s="206"/>
      <c r="H45" s="355"/>
      <c r="I45" s="355"/>
      <c r="J45" s="206" t="s">
        <v>480</v>
      </c>
      <c r="K45" s="355"/>
      <c r="L45" s="355"/>
      <c r="M45" s="355"/>
      <c r="O45" s="206"/>
      <c r="P45" s="206"/>
      <c r="Q45" s="206" t="s">
        <v>480</v>
      </c>
      <c r="R45" s="206"/>
      <c r="S45" s="355"/>
      <c r="T45" s="206"/>
      <c r="U45" s="355"/>
      <c r="V45" s="355"/>
      <c r="W45" s="206" t="s">
        <v>480</v>
      </c>
      <c r="Y45" s="355"/>
      <c r="Z45" s="355"/>
      <c r="AA45" s="353"/>
      <c r="AB45" s="353"/>
      <c r="AC45" s="355"/>
      <c r="AD45" s="206" t="s">
        <v>480</v>
      </c>
      <c r="AF45" s="206"/>
      <c r="AG45" s="355"/>
      <c r="AH45" s="353"/>
      <c r="AI45" s="353"/>
      <c r="AJ45" s="355"/>
      <c r="AK45" s="206" t="s">
        <v>480</v>
      </c>
      <c r="AM45" s="353"/>
      <c r="AN45" s="355"/>
      <c r="AO45" s="355"/>
      <c r="AP45" s="353"/>
      <c r="AQ45" s="206"/>
      <c r="AR45" s="206" t="s">
        <v>480</v>
      </c>
      <c r="AT45" s="355"/>
      <c r="AU45" s="353"/>
      <c r="AV45" s="206"/>
      <c r="AW45" s="353"/>
      <c r="AX45" s="206" t="s">
        <v>480</v>
      </c>
      <c r="AZ45" s="353"/>
      <c r="BA45" s="353"/>
      <c r="BB45" s="353"/>
      <c r="BC45" s="353"/>
      <c r="BD45" s="206" t="s">
        <v>480</v>
      </c>
      <c r="BF45" s="206"/>
      <c r="BG45" s="356"/>
      <c r="BH45" s="331"/>
      <c r="BI45" s="353"/>
      <c r="BJ45" s="206" t="s">
        <v>480</v>
      </c>
      <c r="BL45" s="353"/>
      <c r="BM45" s="357"/>
      <c r="BN45" s="357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  <c r="DE45" s="353"/>
      <c r="DF45" s="353"/>
      <c r="DG45" s="353"/>
      <c r="DH45" s="353"/>
      <c r="DI45" s="353"/>
      <c r="DJ45" s="353"/>
      <c r="DK45" s="353"/>
      <c r="DL45" s="353"/>
      <c r="DM45" s="353"/>
      <c r="DN45" s="353"/>
      <c r="DO45" s="353"/>
      <c r="DP45" s="353"/>
      <c r="DQ45" s="353"/>
      <c r="DR45" s="353"/>
      <c r="DS45" s="353"/>
      <c r="DT45" s="353"/>
      <c r="DU45" s="353"/>
      <c r="DV45" s="353"/>
      <c r="DW45" s="353"/>
      <c r="DX45" s="353"/>
      <c r="DY45" s="353"/>
      <c r="DZ45" s="353"/>
      <c r="EA45" s="353"/>
      <c r="EB45" s="353"/>
      <c r="EC45" s="353"/>
      <c r="ED45" s="353"/>
      <c r="EE45" s="353"/>
      <c r="EF45" s="353"/>
      <c r="EG45" s="353"/>
      <c r="EH45" s="353"/>
      <c r="EI45" s="353"/>
      <c r="EJ45" s="353"/>
      <c r="EK45" s="353"/>
      <c r="EL45" s="353"/>
      <c r="EM45" s="353"/>
      <c r="EN45" s="353"/>
      <c r="EO45" s="353"/>
      <c r="EP45" s="353"/>
      <c r="EQ45" s="353"/>
      <c r="ER45" s="353"/>
      <c r="ES45" s="353"/>
      <c r="ET45" s="353"/>
      <c r="EU45" s="353"/>
      <c r="EV45" s="353"/>
      <c r="EW45" s="353"/>
      <c r="EX45" s="353"/>
      <c r="EY45" s="353"/>
      <c r="EZ45" s="353"/>
      <c r="FA45" s="353"/>
      <c r="FB45" s="353"/>
      <c r="FC45" s="353"/>
      <c r="FD45" s="353"/>
      <c r="FE45" s="353"/>
      <c r="FF45" s="353"/>
      <c r="FG45" s="353"/>
      <c r="FH45" s="353"/>
      <c r="FI45" s="353"/>
      <c r="FJ45" s="353"/>
      <c r="FK45" s="353"/>
      <c r="FL45" s="353"/>
      <c r="FM45" s="353"/>
      <c r="FN45" s="353"/>
      <c r="FO45" s="353"/>
      <c r="FP45" s="353"/>
      <c r="FQ45" s="353"/>
    </row>
    <row r="46" spans="1:173" s="156" customFormat="1" ht="12">
      <c r="A46" s="331"/>
      <c r="B46" s="332"/>
      <c r="C46" s="206" t="s">
        <v>504</v>
      </c>
      <c r="D46" s="353"/>
      <c r="E46" s="353"/>
      <c r="F46" s="353"/>
      <c r="G46" s="357"/>
      <c r="H46" s="355"/>
      <c r="I46" s="355"/>
      <c r="J46" s="206" t="s">
        <v>504</v>
      </c>
      <c r="K46" s="355"/>
      <c r="L46" s="355"/>
      <c r="M46" s="355"/>
      <c r="O46" s="357"/>
      <c r="P46" s="357"/>
      <c r="Q46" s="206" t="s">
        <v>504</v>
      </c>
      <c r="R46" s="206"/>
      <c r="S46" s="355"/>
      <c r="T46" s="206"/>
      <c r="U46" s="355"/>
      <c r="V46" s="355"/>
      <c r="W46" s="206" t="s">
        <v>504</v>
      </c>
      <c r="Y46" s="355"/>
      <c r="Z46" s="355"/>
      <c r="AA46" s="353"/>
      <c r="AB46" s="353"/>
      <c r="AC46" s="355"/>
      <c r="AD46" s="206" t="s">
        <v>504</v>
      </c>
      <c r="AF46" s="357"/>
      <c r="AG46" s="355"/>
      <c r="AH46" s="353"/>
      <c r="AI46" s="353"/>
      <c r="AJ46" s="355"/>
      <c r="AK46" s="206" t="s">
        <v>504</v>
      </c>
      <c r="AM46" s="353"/>
      <c r="AN46" s="355"/>
      <c r="AO46" s="355"/>
      <c r="AP46" s="353"/>
      <c r="AQ46" s="357"/>
      <c r="AR46" s="206" t="s">
        <v>504</v>
      </c>
      <c r="AT46" s="355"/>
      <c r="AU46" s="353"/>
      <c r="AV46" s="357"/>
      <c r="AW46" s="353"/>
      <c r="AX46" s="206" t="s">
        <v>504</v>
      </c>
      <c r="AZ46" s="353"/>
      <c r="BA46" s="353"/>
      <c r="BB46" s="353"/>
      <c r="BC46" s="353"/>
      <c r="BD46" s="206" t="s">
        <v>504</v>
      </c>
      <c r="BF46" s="357"/>
      <c r="BG46" s="356"/>
      <c r="BH46" s="331"/>
      <c r="BI46" s="353"/>
      <c r="BJ46" s="206" t="s">
        <v>504</v>
      </c>
      <c r="BL46" s="353"/>
      <c r="BM46" s="357"/>
      <c r="BN46" s="357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  <c r="CX46" s="353"/>
      <c r="CY46" s="353"/>
      <c r="CZ46" s="353"/>
      <c r="DA46" s="353"/>
      <c r="DB46" s="353"/>
      <c r="DC46" s="353"/>
      <c r="DD46" s="353"/>
      <c r="DE46" s="353"/>
      <c r="DF46" s="353"/>
      <c r="DG46" s="353"/>
      <c r="DH46" s="353"/>
      <c r="DI46" s="353"/>
      <c r="DJ46" s="353"/>
      <c r="DK46" s="353"/>
      <c r="DL46" s="353"/>
      <c r="DM46" s="353"/>
      <c r="DN46" s="353"/>
      <c r="DO46" s="353"/>
      <c r="DP46" s="353"/>
      <c r="DQ46" s="353"/>
      <c r="DR46" s="353"/>
      <c r="DS46" s="353"/>
      <c r="DT46" s="353"/>
      <c r="DU46" s="353"/>
      <c r="DV46" s="353"/>
      <c r="DW46" s="353"/>
      <c r="DX46" s="353"/>
      <c r="DY46" s="353"/>
      <c r="DZ46" s="353"/>
      <c r="EA46" s="353"/>
      <c r="EB46" s="353"/>
      <c r="EC46" s="353"/>
      <c r="ED46" s="353"/>
      <c r="EE46" s="353"/>
      <c r="EF46" s="353"/>
      <c r="EG46" s="353"/>
      <c r="EH46" s="353"/>
      <c r="EI46" s="353"/>
      <c r="EJ46" s="353"/>
      <c r="EK46" s="353"/>
      <c r="EL46" s="353"/>
      <c r="EM46" s="353"/>
      <c r="EN46" s="353"/>
      <c r="EO46" s="353"/>
      <c r="EP46" s="353"/>
      <c r="EQ46" s="353"/>
      <c r="ER46" s="353"/>
      <c r="ES46" s="353"/>
      <c r="ET46" s="353"/>
      <c r="EU46" s="353"/>
      <c r="EV46" s="353"/>
      <c r="EW46" s="353"/>
      <c r="EX46" s="353"/>
      <c r="EY46" s="353"/>
      <c r="EZ46" s="353"/>
      <c r="FA46" s="353"/>
      <c r="FB46" s="353"/>
      <c r="FC46" s="353"/>
      <c r="FD46" s="353"/>
      <c r="FE46" s="353"/>
      <c r="FF46" s="353"/>
      <c r="FG46" s="353"/>
      <c r="FH46" s="353"/>
      <c r="FI46" s="353"/>
      <c r="FJ46" s="353"/>
      <c r="FK46" s="353"/>
      <c r="FL46" s="353"/>
      <c r="FM46" s="353"/>
      <c r="FN46" s="353"/>
      <c r="FO46" s="353"/>
      <c r="FP46" s="353"/>
      <c r="FQ46" s="353"/>
    </row>
    <row r="47" spans="1:173" s="156" customFormat="1" ht="12">
      <c r="A47" s="331"/>
      <c r="B47" s="332"/>
      <c r="C47" s="206" t="s">
        <v>481</v>
      </c>
      <c r="D47" s="353"/>
      <c r="E47" s="353"/>
      <c r="F47" s="353"/>
      <c r="G47" s="357"/>
      <c r="H47" s="355"/>
      <c r="I47" s="355"/>
      <c r="J47" s="206" t="s">
        <v>481</v>
      </c>
      <c r="K47" s="355"/>
      <c r="L47" s="355"/>
      <c r="M47" s="355"/>
      <c r="O47" s="357"/>
      <c r="P47" s="357"/>
      <c r="Q47" s="206" t="s">
        <v>481</v>
      </c>
      <c r="R47" s="206"/>
      <c r="S47" s="355"/>
      <c r="T47" s="206"/>
      <c r="U47" s="355"/>
      <c r="V47" s="355"/>
      <c r="W47" s="206" t="s">
        <v>481</v>
      </c>
      <c r="Y47" s="355"/>
      <c r="Z47" s="355"/>
      <c r="AA47" s="353"/>
      <c r="AB47" s="353"/>
      <c r="AC47" s="355"/>
      <c r="AD47" s="206" t="s">
        <v>481</v>
      </c>
      <c r="AF47" s="357"/>
      <c r="AG47" s="355"/>
      <c r="AH47" s="353"/>
      <c r="AI47" s="353"/>
      <c r="AJ47" s="355"/>
      <c r="AK47" s="206" t="s">
        <v>481</v>
      </c>
      <c r="AM47" s="353"/>
      <c r="AN47" s="355"/>
      <c r="AO47" s="355"/>
      <c r="AP47" s="353"/>
      <c r="AQ47" s="357"/>
      <c r="AR47" s="206" t="s">
        <v>481</v>
      </c>
      <c r="AT47" s="355"/>
      <c r="AU47" s="353"/>
      <c r="AV47" s="357"/>
      <c r="AW47" s="353"/>
      <c r="AX47" s="206" t="s">
        <v>481</v>
      </c>
      <c r="AZ47" s="353"/>
      <c r="BA47" s="353"/>
      <c r="BB47" s="353"/>
      <c r="BC47" s="353"/>
      <c r="BD47" s="206" t="s">
        <v>481</v>
      </c>
      <c r="BF47" s="357"/>
      <c r="BG47" s="356"/>
      <c r="BH47" s="331"/>
      <c r="BI47" s="353"/>
      <c r="BJ47" s="206" t="s">
        <v>481</v>
      </c>
      <c r="BL47" s="353"/>
      <c r="BM47" s="357"/>
      <c r="BN47" s="357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3"/>
      <c r="DD47" s="353"/>
      <c r="DE47" s="353"/>
      <c r="DF47" s="353"/>
      <c r="DG47" s="353"/>
      <c r="DH47" s="353"/>
      <c r="DI47" s="353"/>
      <c r="DJ47" s="353"/>
      <c r="DK47" s="353"/>
      <c r="DL47" s="353"/>
      <c r="DM47" s="353"/>
      <c r="DN47" s="353"/>
      <c r="DO47" s="353"/>
      <c r="DP47" s="353"/>
      <c r="DQ47" s="353"/>
      <c r="DR47" s="353"/>
      <c r="DS47" s="353"/>
      <c r="DT47" s="353"/>
      <c r="DU47" s="353"/>
      <c r="DV47" s="353"/>
      <c r="DW47" s="353"/>
      <c r="DX47" s="353"/>
      <c r="DY47" s="353"/>
      <c r="DZ47" s="353"/>
      <c r="EA47" s="353"/>
      <c r="EB47" s="353"/>
      <c r="EC47" s="353"/>
      <c r="ED47" s="353"/>
      <c r="EE47" s="353"/>
      <c r="EF47" s="353"/>
      <c r="EG47" s="353"/>
      <c r="EH47" s="353"/>
      <c r="EI47" s="353"/>
      <c r="EJ47" s="353"/>
      <c r="EK47" s="353"/>
      <c r="EL47" s="353"/>
      <c r="EM47" s="353"/>
      <c r="EN47" s="353"/>
      <c r="EO47" s="353"/>
      <c r="EP47" s="353"/>
      <c r="EQ47" s="353"/>
      <c r="ER47" s="353"/>
      <c r="ES47" s="353"/>
      <c r="ET47" s="353"/>
      <c r="EU47" s="353"/>
      <c r="EV47" s="353"/>
      <c r="EW47" s="353"/>
      <c r="EX47" s="353"/>
      <c r="EY47" s="353"/>
      <c r="EZ47" s="353"/>
      <c r="FA47" s="353"/>
      <c r="FB47" s="353"/>
      <c r="FC47" s="353"/>
      <c r="FD47" s="353"/>
      <c r="FE47" s="353"/>
      <c r="FF47" s="353"/>
      <c r="FG47" s="353"/>
      <c r="FH47" s="353"/>
      <c r="FI47" s="353"/>
      <c r="FJ47" s="353"/>
      <c r="FK47" s="353"/>
      <c r="FL47" s="353"/>
      <c r="FM47" s="353"/>
      <c r="FN47" s="353"/>
      <c r="FO47" s="353"/>
      <c r="FP47" s="353"/>
      <c r="FQ47" s="353"/>
    </row>
    <row r="48" spans="1:173" s="156" customFormat="1" ht="12">
      <c r="A48" s="331"/>
      <c r="B48" s="332"/>
      <c r="C48" s="206" t="s">
        <v>505</v>
      </c>
      <c r="D48" s="353"/>
      <c r="E48" s="353"/>
      <c r="F48" s="353"/>
      <c r="G48" s="357"/>
      <c r="H48" s="355"/>
      <c r="I48" s="355"/>
      <c r="J48" s="206" t="s">
        <v>505</v>
      </c>
      <c r="K48" s="355"/>
      <c r="L48" s="355"/>
      <c r="M48" s="355"/>
      <c r="O48" s="357"/>
      <c r="P48" s="357"/>
      <c r="Q48" s="206" t="s">
        <v>505</v>
      </c>
      <c r="R48" s="206"/>
      <c r="S48" s="355"/>
      <c r="T48" s="206"/>
      <c r="U48" s="355"/>
      <c r="V48" s="355"/>
      <c r="W48" s="206" t="s">
        <v>505</v>
      </c>
      <c r="Y48" s="355"/>
      <c r="Z48" s="355"/>
      <c r="AA48" s="353"/>
      <c r="AB48" s="353"/>
      <c r="AC48" s="355"/>
      <c r="AD48" s="206" t="s">
        <v>505</v>
      </c>
      <c r="AF48" s="357"/>
      <c r="AG48" s="355"/>
      <c r="AH48" s="353"/>
      <c r="AI48" s="353"/>
      <c r="AJ48" s="355"/>
      <c r="AK48" s="206" t="s">
        <v>505</v>
      </c>
      <c r="AM48" s="353"/>
      <c r="AN48" s="355"/>
      <c r="AO48" s="355"/>
      <c r="AP48" s="353"/>
      <c r="AQ48" s="357"/>
      <c r="AR48" s="206" t="s">
        <v>505</v>
      </c>
      <c r="AT48" s="355"/>
      <c r="AU48" s="353"/>
      <c r="AV48" s="357"/>
      <c r="AW48" s="353"/>
      <c r="AX48" s="206" t="s">
        <v>505</v>
      </c>
      <c r="AZ48" s="353"/>
      <c r="BA48" s="353"/>
      <c r="BB48" s="353"/>
      <c r="BC48" s="353"/>
      <c r="BD48" s="206" t="s">
        <v>505</v>
      </c>
      <c r="BF48" s="357"/>
      <c r="BG48" s="356"/>
      <c r="BH48" s="331"/>
      <c r="BI48" s="353"/>
      <c r="BJ48" s="206" t="s">
        <v>505</v>
      </c>
      <c r="BL48" s="353"/>
      <c r="BM48" s="357"/>
      <c r="BN48" s="357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53"/>
      <c r="CZ48" s="353"/>
      <c r="DA48" s="353"/>
      <c r="DB48" s="353"/>
      <c r="DC48" s="353"/>
      <c r="DD48" s="353"/>
      <c r="DE48" s="353"/>
      <c r="DF48" s="353"/>
      <c r="DG48" s="353"/>
      <c r="DH48" s="353"/>
      <c r="DI48" s="353"/>
      <c r="DJ48" s="353"/>
      <c r="DK48" s="353"/>
      <c r="DL48" s="353"/>
      <c r="DM48" s="353"/>
      <c r="DN48" s="353"/>
      <c r="DO48" s="353"/>
      <c r="DP48" s="353"/>
      <c r="DQ48" s="353"/>
      <c r="DR48" s="353"/>
      <c r="DS48" s="353"/>
      <c r="DT48" s="353"/>
      <c r="DU48" s="353"/>
      <c r="DV48" s="353"/>
      <c r="DW48" s="353"/>
      <c r="DX48" s="353"/>
      <c r="DY48" s="353"/>
      <c r="DZ48" s="353"/>
      <c r="EA48" s="353"/>
      <c r="EB48" s="353"/>
      <c r="EC48" s="353"/>
      <c r="ED48" s="353"/>
      <c r="EE48" s="353"/>
      <c r="EF48" s="353"/>
      <c r="EG48" s="353"/>
      <c r="EH48" s="353"/>
      <c r="EI48" s="353"/>
      <c r="EJ48" s="353"/>
      <c r="EK48" s="353"/>
      <c r="EL48" s="353"/>
      <c r="EM48" s="353"/>
      <c r="EN48" s="353"/>
      <c r="EO48" s="353"/>
      <c r="EP48" s="353"/>
      <c r="EQ48" s="353"/>
      <c r="ER48" s="353"/>
      <c r="ES48" s="353"/>
      <c r="ET48" s="353"/>
      <c r="EU48" s="353"/>
      <c r="EV48" s="353"/>
      <c r="EW48" s="353"/>
      <c r="EX48" s="353"/>
      <c r="EY48" s="353"/>
      <c r="EZ48" s="353"/>
      <c r="FA48" s="353"/>
      <c r="FB48" s="353"/>
      <c r="FC48" s="353"/>
      <c r="FD48" s="353"/>
      <c r="FE48" s="353"/>
      <c r="FF48" s="353"/>
      <c r="FG48" s="353"/>
      <c r="FH48" s="353"/>
      <c r="FI48" s="353"/>
      <c r="FJ48" s="353"/>
      <c r="FK48" s="353"/>
      <c r="FL48" s="353"/>
      <c r="FM48" s="353"/>
      <c r="FN48" s="353"/>
      <c r="FO48" s="353"/>
      <c r="FP48" s="353"/>
      <c r="FQ48" s="353"/>
    </row>
    <row r="49" spans="1:173" s="156" customFormat="1" ht="12">
      <c r="A49" s="229"/>
      <c r="B49" s="299"/>
      <c r="C49" s="206" t="s">
        <v>482</v>
      </c>
      <c r="D49" s="353"/>
      <c r="E49" s="353"/>
      <c r="F49" s="353"/>
      <c r="G49" s="357"/>
      <c r="H49" s="355"/>
      <c r="I49" s="355"/>
      <c r="J49" s="206" t="s">
        <v>482</v>
      </c>
      <c r="K49" s="355"/>
      <c r="L49" s="355"/>
      <c r="M49" s="355"/>
      <c r="O49" s="357"/>
      <c r="P49" s="357"/>
      <c r="Q49" s="206" t="s">
        <v>482</v>
      </c>
      <c r="R49" s="206"/>
      <c r="S49" s="355"/>
      <c r="T49" s="206"/>
      <c r="U49" s="355"/>
      <c r="V49" s="355"/>
      <c r="W49" s="206" t="s">
        <v>482</v>
      </c>
      <c r="Y49" s="355"/>
      <c r="Z49" s="355"/>
      <c r="AA49" s="353"/>
      <c r="AB49" s="353"/>
      <c r="AC49" s="355"/>
      <c r="AD49" s="206" t="s">
        <v>482</v>
      </c>
      <c r="AF49" s="357"/>
      <c r="AG49" s="355"/>
      <c r="AH49" s="353"/>
      <c r="AI49" s="353"/>
      <c r="AJ49" s="355"/>
      <c r="AK49" s="206" t="s">
        <v>482</v>
      </c>
      <c r="AM49" s="353"/>
      <c r="AN49" s="355"/>
      <c r="AO49" s="355"/>
      <c r="AP49" s="353"/>
      <c r="AQ49" s="357"/>
      <c r="AR49" s="206" t="s">
        <v>482</v>
      </c>
      <c r="AT49" s="355"/>
      <c r="AU49" s="353"/>
      <c r="AV49" s="357"/>
      <c r="AW49" s="353"/>
      <c r="AX49" s="206" t="s">
        <v>482</v>
      </c>
      <c r="AZ49" s="353"/>
      <c r="BA49" s="353"/>
      <c r="BB49" s="353"/>
      <c r="BC49" s="353"/>
      <c r="BD49" s="206" t="s">
        <v>482</v>
      </c>
      <c r="BF49" s="357"/>
      <c r="BG49" s="356"/>
      <c r="BH49" s="331"/>
      <c r="BI49" s="353"/>
      <c r="BJ49" s="206" t="s">
        <v>482</v>
      </c>
      <c r="BL49" s="353"/>
      <c r="BM49" s="357"/>
      <c r="BN49" s="357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53"/>
      <c r="CY49" s="353"/>
      <c r="CZ49" s="353"/>
      <c r="DA49" s="353"/>
      <c r="DB49" s="353"/>
      <c r="DC49" s="353"/>
      <c r="DD49" s="353"/>
      <c r="DE49" s="353"/>
      <c r="DF49" s="353"/>
      <c r="DG49" s="353"/>
      <c r="DH49" s="353"/>
      <c r="DI49" s="353"/>
      <c r="DJ49" s="353"/>
      <c r="DK49" s="353"/>
      <c r="DL49" s="353"/>
      <c r="DM49" s="353"/>
      <c r="DN49" s="353"/>
      <c r="DO49" s="353"/>
      <c r="DP49" s="353"/>
      <c r="DQ49" s="353"/>
      <c r="DR49" s="353"/>
      <c r="DS49" s="353"/>
      <c r="DT49" s="353"/>
      <c r="DU49" s="353"/>
      <c r="DV49" s="353"/>
      <c r="DW49" s="353"/>
      <c r="DX49" s="353"/>
      <c r="DY49" s="353"/>
      <c r="DZ49" s="353"/>
      <c r="EA49" s="353"/>
      <c r="EB49" s="353"/>
      <c r="EC49" s="353"/>
      <c r="ED49" s="353"/>
      <c r="EE49" s="353"/>
      <c r="EF49" s="353"/>
      <c r="EG49" s="353"/>
      <c r="EH49" s="353"/>
      <c r="EI49" s="353"/>
      <c r="EJ49" s="353"/>
      <c r="EK49" s="353"/>
      <c r="EL49" s="353"/>
      <c r="EM49" s="353"/>
      <c r="EN49" s="353"/>
      <c r="EO49" s="353"/>
      <c r="EP49" s="353"/>
      <c r="EQ49" s="353"/>
      <c r="ER49" s="353"/>
      <c r="ES49" s="353"/>
      <c r="ET49" s="353"/>
      <c r="EU49" s="353"/>
      <c r="EV49" s="353"/>
      <c r="EW49" s="353"/>
      <c r="EX49" s="353"/>
      <c r="EY49" s="353"/>
      <c r="EZ49" s="353"/>
      <c r="FA49" s="353"/>
      <c r="FB49" s="353"/>
      <c r="FC49" s="353"/>
      <c r="FD49" s="353"/>
      <c r="FE49" s="353"/>
      <c r="FF49" s="353"/>
      <c r="FG49" s="353"/>
      <c r="FH49" s="353"/>
      <c r="FI49" s="353"/>
      <c r="FJ49" s="353"/>
      <c r="FK49" s="353"/>
      <c r="FL49" s="353"/>
      <c r="FM49" s="353"/>
      <c r="FN49" s="353"/>
      <c r="FO49" s="353"/>
      <c r="FP49" s="353"/>
      <c r="FQ49" s="353"/>
    </row>
    <row r="50" spans="1:173" s="99" customFormat="1" ht="12.75">
      <c r="A50" s="122"/>
      <c r="B50" s="316"/>
      <c r="C50" s="58"/>
      <c r="D50" s="58"/>
      <c r="E50" s="58"/>
      <c r="F50" s="58"/>
      <c r="G50" s="58"/>
      <c r="H50" s="58"/>
      <c r="I50" s="57"/>
      <c r="J50" s="57"/>
      <c r="K50" s="57"/>
      <c r="L50" s="57"/>
      <c r="M50" s="57"/>
      <c r="N50" s="58"/>
      <c r="O50" s="58"/>
      <c r="P50" s="57"/>
      <c r="Q50" s="57"/>
      <c r="R50" s="57"/>
      <c r="S50" s="57"/>
      <c r="T50" s="57"/>
      <c r="U50" s="58"/>
      <c r="V50" s="58"/>
      <c r="W50" s="58"/>
      <c r="X50" s="58"/>
      <c r="Y50" s="57"/>
      <c r="Z50" s="58"/>
      <c r="AA50" s="58"/>
      <c r="AB50" s="58"/>
      <c r="AC50" s="58"/>
      <c r="AD50" s="58"/>
      <c r="AE50" s="58"/>
      <c r="AF50" s="57"/>
      <c r="AG50" s="57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7"/>
      <c r="AT50" s="58"/>
      <c r="AU50" s="58"/>
      <c r="AV50" s="58"/>
      <c r="AW50" s="58"/>
      <c r="AX50" s="57"/>
      <c r="AZ50" s="58"/>
      <c r="BA50" s="58"/>
      <c r="BB50" s="58"/>
      <c r="BC50" s="58"/>
      <c r="BD50" s="58"/>
      <c r="BE50" s="58"/>
      <c r="BF50" s="58"/>
      <c r="BG50" s="2"/>
      <c r="BH50" s="43"/>
      <c r="BI50" s="58"/>
      <c r="BK50" s="58"/>
      <c r="BL50" s="58"/>
      <c r="BM50" s="59"/>
      <c r="BN50" s="59"/>
      <c r="BO50" s="58" t="s">
        <v>573</v>
      </c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</row>
    <row r="51" spans="1:66" ht="12.75">
      <c r="A51" s="32"/>
      <c r="B51" s="101"/>
      <c r="C51" s="51"/>
      <c r="D51" s="51"/>
      <c r="E51" s="51"/>
      <c r="F51" s="51"/>
      <c r="I51" s="107"/>
      <c r="J51" s="107"/>
      <c r="K51" s="107"/>
      <c r="L51" s="107"/>
      <c r="M51" s="108"/>
      <c r="P51" s="33"/>
      <c r="S51" s="33"/>
      <c r="T51" s="33"/>
      <c r="Y51" s="33"/>
      <c r="AA51" s="59"/>
      <c r="AB51" s="59"/>
      <c r="AD51" s="59"/>
      <c r="AE51" s="60"/>
      <c r="AF51" s="59"/>
      <c r="AH51" s="59"/>
      <c r="AI51" s="59"/>
      <c r="AL51" s="59"/>
      <c r="AM51" s="59"/>
      <c r="AP51" s="59"/>
      <c r="AQ51" s="59"/>
      <c r="AR51" s="59"/>
      <c r="AS51" s="52"/>
      <c r="AT51" s="59"/>
      <c r="AU51" s="51"/>
      <c r="AV51" s="51"/>
      <c r="AW51" s="51"/>
      <c r="AX51" s="32"/>
      <c r="AY51" s="59"/>
      <c r="AZ51" s="59"/>
      <c r="BA51" s="51"/>
      <c r="BC51" s="60"/>
      <c r="BD51" s="59"/>
      <c r="BE51" s="59"/>
      <c r="BF51" s="59"/>
      <c r="BI51" s="59"/>
      <c r="BM51" s="16"/>
      <c r="BN51" s="16"/>
    </row>
    <row r="52" spans="1:66" ht="12.75">
      <c r="A52" s="37" t="s">
        <v>324</v>
      </c>
      <c r="B52" s="101"/>
      <c r="C52" s="59"/>
      <c r="D52" s="59"/>
      <c r="E52" s="59"/>
      <c r="F52" s="59"/>
      <c r="G52" s="59"/>
      <c r="H52" s="59"/>
      <c r="M52" s="59"/>
      <c r="N52" s="59"/>
      <c r="O52" s="59"/>
      <c r="P52" s="33"/>
      <c r="S52" s="33"/>
      <c r="T52" s="33"/>
      <c r="U52" s="59"/>
      <c r="V52" s="59"/>
      <c r="W52" s="59"/>
      <c r="X52" s="59"/>
      <c r="Y52" s="33"/>
      <c r="Z52" s="59"/>
      <c r="AC52" s="59"/>
      <c r="AD52" s="59"/>
      <c r="AE52" s="59"/>
      <c r="AF52" s="59"/>
      <c r="AG52" s="33"/>
      <c r="AH52" s="59"/>
      <c r="AJ52" s="59"/>
      <c r="AK52" s="59"/>
      <c r="AL52" s="59"/>
      <c r="AM52" s="59"/>
      <c r="AN52" s="59"/>
      <c r="AP52" s="59"/>
      <c r="AQ52" s="59"/>
      <c r="AR52" s="59"/>
      <c r="AS52" s="33"/>
      <c r="AT52" s="59"/>
      <c r="AU52" s="59"/>
      <c r="AV52" s="59"/>
      <c r="AW52" s="59"/>
      <c r="AX52" s="33"/>
      <c r="AY52" s="59"/>
      <c r="BA52" s="59"/>
      <c r="BF52" s="59"/>
      <c r="BH52" s="33"/>
      <c r="BI52" s="59"/>
      <c r="BJ52" s="59"/>
      <c r="BK52" s="59"/>
      <c r="BL52" s="59"/>
      <c r="BM52" s="16"/>
      <c r="BN52" s="16"/>
    </row>
    <row r="53" spans="1:66" ht="12.75">
      <c r="A53" s="37" t="s">
        <v>218</v>
      </c>
      <c r="B53" s="101"/>
      <c r="G53" s="59"/>
      <c r="H53" s="59"/>
      <c r="M53" s="59"/>
      <c r="N53" s="59"/>
      <c r="P53" s="33"/>
      <c r="S53" s="33"/>
      <c r="T53" s="33"/>
      <c r="U53" s="59"/>
      <c r="V53" s="59"/>
      <c r="W53" s="59"/>
      <c r="X53" s="59"/>
      <c r="Y53" s="33"/>
      <c r="Z53" s="59"/>
      <c r="AC53" s="59"/>
      <c r="AD53" s="59"/>
      <c r="AE53" s="59"/>
      <c r="AF53" s="59"/>
      <c r="AH53" s="59"/>
      <c r="AJ53" s="59"/>
      <c r="AM53" s="59"/>
      <c r="AP53" s="59"/>
      <c r="AQ53" s="59"/>
      <c r="AR53" s="59"/>
      <c r="AS53" s="33"/>
      <c r="AT53" s="59"/>
      <c r="AU53" s="59"/>
      <c r="AV53" s="59"/>
      <c r="AW53" s="59"/>
      <c r="AY53" s="59"/>
      <c r="BA53" s="59"/>
      <c r="BF53" s="59"/>
      <c r="BH53" s="33"/>
      <c r="BI53" s="59"/>
      <c r="BJ53" s="59"/>
      <c r="BL53" s="59"/>
      <c r="BM53" s="16"/>
      <c r="BN53" s="16"/>
    </row>
    <row r="54" spans="1:66" ht="12.75">
      <c r="A54" s="33" t="s">
        <v>435</v>
      </c>
      <c r="B54" s="101"/>
      <c r="C54" s="100">
        <f>+'4.1. Samtryggingard.'!B33-'4.1. Samtryggingard.'!B41</f>
        <v>12692290</v>
      </c>
      <c r="D54" s="100">
        <f>+'4.1. Samtryggingard.'!C33-'4.1. Samtryggingard.'!C41</f>
        <v>3966042</v>
      </c>
      <c r="E54" s="100">
        <f>+'4.1. Samtryggingard.'!D33-'4.1. Samtryggingard.'!D41</f>
        <v>15985</v>
      </c>
      <c r="F54" s="100">
        <f>+'4.1. Samtryggingard.'!E33-'4.1. Samtryggingard.'!E41</f>
        <v>2095</v>
      </c>
      <c r="G54" s="100">
        <f>+'4.1. Samtryggingard.'!F33-'4.1. Samtryggingard.'!F41</f>
        <v>15677555</v>
      </c>
      <c r="H54" s="100">
        <f>+'4.1. Samtryggingard.'!G33-'4.1. Samtryggingard.'!G41</f>
        <v>9250838</v>
      </c>
      <c r="I54" s="100">
        <f>+'4.1. Samtryggingard.'!H33-'4.1. Samtryggingard.'!H41</f>
        <v>8673900</v>
      </c>
      <c r="J54" s="100">
        <f>+'4.1. Samtryggingard.'!I33-'4.1. Samtryggingard.'!I41</f>
        <v>4655745</v>
      </c>
      <c r="K54" s="100">
        <f>+'4.1. Samtryggingard.'!J33-'4.1. Samtryggingard.'!J41</f>
        <v>72158</v>
      </c>
      <c r="L54" s="100">
        <f>+'4.1. Samtryggingard.'!K33-'4.1. Samtryggingard.'!K41</f>
        <v>3360538</v>
      </c>
      <c r="M54" s="100">
        <f>+'4.1. Samtryggingard.'!L33-'4.1. Samtryggingard.'!L41</f>
        <v>3179587</v>
      </c>
      <c r="N54" s="100">
        <f>+'4.1. Samtryggingard.'!M33-'4.1. Samtryggingard.'!M41</f>
        <v>619851</v>
      </c>
      <c r="O54" s="100">
        <f>+'4.1. Samtryggingard.'!N33-'4.1. Samtryggingard.'!N41</f>
        <v>447718</v>
      </c>
      <c r="P54" s="100">
        <f>+'4.1. Samtryggingard.'!O33-'4.1. Samtryggingard.'!O41</f>
        <v>2507734</v>
      </c>
      <c r="Q54" s="100">
        <f>+'4.1. Samtryggingard.'!P33-'4.1. Samtryggingard.'!P41</f>
        <v>2003437</v>
      </c>
      <c r="R54" s="100">
        <f>+'4.1. Samtryggingard.'!Q33-'4.1. Samtryggingard.'!Q41</f>
        <v>471179</v>
      </c>
      <c r="S54" s="100">
        <f>+'4.1. Samtryggingard.'!R33-'4.1. Samtryggingard.'!R41</f>
        <v>2427342</v>
      </c>
      <c r="T54" s="100">
        <f>+'4.1. Samtryggingard.'!S33-'4.1. Samtryggingard.'!S41</f>
        <v>180255</v>
      </c>
      <c r="U54" s="100">
        <f>+'4.1. Samtryggingard.'!T33-'4.1. Samtryggingard.'!T41</f>
        <v>1926496</v>
      </c>
      <c r="V54" s="100">
        <f>+'4.1. Samtryggingard.'!U33-'4.1. Samtryggingard.'!U41</f>
        <v>2130264</v>
      </c>
      <c r="W54" s="100">
        <f>+'4.1. Samtryggingard.'!V33-'4.1. Samtryggingard.'!V41</f>
        <v>2042350</v>
      </c>
      <c r="X54" s="100">
        <f>+'4.1. Samtryggingard.'!W33-'4.1. Samtryggingard.'!W41</f>
        <v>33667</v>
      </c>
      <c r="Y54" s="100">
        <f>+'4.1. Samtryggingard.'!X33-'4.1. Samtryggingard.'!X41</f>
        <v>1565426</v>
      </c>
      <c r="Z54" s="100">
        <f>+'4.1. Samtryggingard.'!Y33-'4.1. Samtryggingard.'!Y41</f>
        <v>1615565</v>
      </c>
      <c r="AA54" s="100">
        <f>+'4.1. Samtryggingard.'!Z33-'4.1. Samtryggingard.'!Z41</f>
        <v>1638391</v>
      </c>
      <c r="AB54" s="100">
        <f>+'4.1. Samtryggingard.'!AA33-'4.1. Samtryggingard.'!AA41</f>
        <v>1408504</v>
      </c>
      <c r="AC54" s="100">
        <f>+'4.1. Samtryggingard.'!AB33-'4.1. Samtryggingard.'!AB41</f>
        <v>1548019.7300000002</v>
      </c>
      <c r="AD54" s="100">
        <f>+'4.1. Samtryggingard.'!AC33-'4.1. Samtryggingard.'!AC41</f>
        <v>894154</v>
      </c>
      <c r="AE54" s="100">
        <f>+'4.1. Samtryggingard.'!AD33-'4.1. Samtryggingard.'!AD41</f>
        <v>1134035</v>
      </c>
      <c r="AF54" s="100">
        <f>+'4.1. Samtryggingard.'!AE33-'4.1. Samtryggingard.'!AE41</f>
        <v>1052999</v>
      </c>
      <c r="AG54" s="100">
        <f>+'4.1. Samtryggingard.'!AF33-'4.1. Samtryggingard.'!AF41</f>
        <v>96173.027</v>
      </c>
      <c r="AH54" s="100">
        <f>+'4.1. Samtryggingard.'!AG33-'4.1. Samtryggingard.'!AG41</f>
        <v>671388</v>
      </c>
      <c r="AI54" s="100">
        <f>+'4.1. Samtryggingard.'!AH33-'4.1. Samtryggingard.'!AH41</f>
        <v>59496</v>
      </c>
      <c r="AJ54" s="100">
        <f>+'4.1. Samtryggingard.'!AI33-'4.1. Samtryggingard.'!AI41</f>
        <v>933257</v>
      </c>
      <c r="AK54" s="100">
        <f>+'4.1. Samtryggingard.'!AJ33-'4.1. Samtryggingard.'!AJ41</f>
        <v>805414</v>
      </c>
      <c r="AL54" s="100">
        <f>+'4.1. Samtryggingard.'!AK33-'4.1. Samtryggingard.'!AK41</f>
        <v>55635.549</v>
      </c>
      <c r="AM54" s="100">
        <f>+'4.1. Samtryggingard.'!AL33-'4.1. Samtryggingard.'!AL41</f>
        <v>345439</v>
      </c>
      <c r="AN54" s="100">
        <f>+'4.1. Samtryggingard.'!AM33-'4.1. Samtryggingard.'!AM41</f>
        <v>248813</v>
      </c>
      <c r="AO54" s="100">
        <f>+'4.1. Samtryggingard.'!AN33-'4.1. Samtryggingard.'!AN41</f>
        <v>12264</v>
      </c>
      <c r="AP54" s="100">
        <f>+'4.1. Samtryggingard.'!AO33-'4.1. Samtryggingard.'!AO41</f>
        <v>235740</v>
      </c>
      <c r="AQ54" s="100">
        <f>+'4.1. Samtryggingard.'!AP33-'4.1. Samtryggingard.'!AP41</f>
        <v>246649</v>
      </c>
      <c r="AR54" s="100">
        <f>+'4.1. Samtryggingard.'!AQ33-'4.1. Samtryggingard.'!AQ41</f>
        <v>239177</v>
      </c>
      <c r="AS54" s="100">
        <f>+'4.1. Samtryggingard.'!AR33-'4.1. Samtryggingard.'!AR41</f>
        <v>188843</v>
      </c>
      <c r="AT54" s="100">
        <f>+'4.1. Samtryggingard.'!AS33-'4.1. Samtryggingard.'!AS41</f>
        <v>16034</v>
      </c>
      <c r="AU54" s="100">
        <f>+'4.1. Samtryggingard.'!AT33-'4.1. Samtryggingard.'!AT41</f>
        <v>155895</v>
      </c>
      <c r="AV54" s="100">
        <f>+'4.1. Samtryggingard.'!AU33-'4.1. Samtryggingard.'!AU41</f>
        <v>127284.254</v>
      </c>
      <c r="AW54" s="100">
        <f>+'4.1. Samtryggingard.'!AV33-'4.1. Samtryggingard.'!AV41</f>
        <v>183034</v>
      </c>
      <c r="AX54" s="100">
        <f>+'4.1. Samtryggingard.'!AW33-'4.1. Samtryggingard.'!AW41</f>
        <v>126576</v>
      </c>
      <c r="AY54" s="100">
        <f>+'4.1. Samtryggingard.'!AX33-'4.1. Samtryggingard.'!AX41</f>
        <v>129021</v>
      </c>
      <c r="AZ54" s="100">
        <f>+'4.1. Samtryggingard.'!AY33-'4.1. Samtryggingard.'!AY41</f>
        <v>73381</v>
      </c>
      <c r="BA54" s="100">
        <f>+'4.1. Samtryggingard.'!AZ33-'4.1. Samtryggingard.'!AZ41</f>
        <v>56889</v>
      </c>
      <c r="BB54" s="100">
        <f>+'4.1. Samtryggingard.'!BA33-'4.1. Samtryggingard.'!BA41</f>
        <v>58452</v>
      </c>
      <c r="BC54" s="100">
        <f>+'4.1. Samtryggingard.'!BB33-'4.1. Samtryggingard.'!BB41</f>
        <v>55463</v>
      </c>
      <c r="BD54" s="100">
        <f>+'4.1. Samtryggingard.'!BC33-'4.1. Samtryggingard.'!BC41</f>
        <v>44977.081000000006</v>
      </c>
      <c r="BE54" s="100">
        <f>+'4.1. Samtryggingard.'!BD33-'4.1. Samtryggingard.'!BD41</f>
        <v>29965</v>
      </c>
      <c r="BF54" s="100">
        <f>+'4.1. Samtryggingard.'!BE33-'4.1. Samtryggingard.'!BE41</f>
        <v>14921</v>
      </c>
      <c r="BG54" s="100">
        <f>+'4.1. Samtryggingard.'!BF33-'4.1. Samtryggingard.'!BF41</f>
        <v>6066</v>
      </c>
      <c r="BH54" s="100">
        <f>+'4.1. Samtryggingard.'!BG33-'4.1. Samtryggingard.'!BG41</f>
        <v>267</v>
      </c>
      <c r="BI54" s="100">
        <f>+'4.1. Samtryggingard.'!BH33-'4.1. Samtryggingard.'!BH41</f>
        <v>668</v>
      </c>
      <c r="BJ54" s="59"/>
      <c r="BK54" s="363">
        <f>+'4.1. Samtryggingard.'!BJ33-'4.1. Samtryggingard.'!BJ41</f>
        <v>92411301.64099999</v>
      </c>
      <c r="BL54" s="363"/>
      <c r="BM54" s="363">
        <f>+'4.1. Samtryggingard.'!BL33-'4.1. Samtryggingard.'!BL41</f>
        <v>16310624</v>
      </c>
      <c r="BN54" s="363">
        <f>+'4.1. Samtryggingard.'!BM33-'4.1. Samtryggingard.'!BM41</f>
        <v>76100677.64099999</v>
      </c>
    </row>
    <row r="55" spans="1:66" ht="12.75">
      <c r="A55" s="33" t="s">
        <v>436</v>
      </c>
      <c r="B55" s="101"/>
      <c r="C55" s="76">
        <f>+'4.1. Samtryggingard.'!B46-'4.1. Samtryggingard.'!B48+'4.1. Samtryggingard.'!B50</f>
        <v>140388</v>
      </c>
      <c r="D55" s="76">
        <f>+'4.1. Samtryggingard.'!C46-'4.1. Samtryggingard.'!C48+'4.1. Samtryggingard.'!C50</f>
        <v>37035</v>
      </c>
      <c r="E55" s="76">
        <f>+'4.1. Samtryggingard.'!D46-'4.1. Samtryggingard.'!D48+'4.1. Samtryggingard.'!D50</f>
        <v>3430</v>
      </c>
      <c r="F55" s="76">
        <f>+'4.1. Samtryggingard.'!E46-'4.1. Samtryggingard.'!E48+'4.1. Samtryggingard.'!E50</f>
        <v>881</v>
      </c>
      <c r="G55" s="76">
        <f>+'4.1. Samtryggingard.'!F46-'4.1. Samtryggingard.'!F48+'4.1. Samtryggingard.'!F50</f>
        <v>87222</v>
      </c>
      <c r="H55" s="76">
        <f>+'4.1. Samtryggingard.'!G46-'4.1. Samtryggingard.'!G48+'4.1. Samtryggingard.'!G50</f>
        <v>94946</v>
      </c>
      <c r="I55" s="76">
        <f>+'4.1. Samtryggingard.'!H46-'4.1. Samtryggingard.'!H48+'4.1. Samtryggingard.'!H50</f>
        <v>75054</v>
      </c>
      <c r="J55" s="76">
        <f>+'4.1. Samtryggingard.'!I46-'4.1. Samtryggingard.'!I48+'4.1. Samtryggingard.'!I50</f>
        <v>82877</v>
      </c>
      <c r="K55" s="76">
        <f>+'4.1. Samtryggingard.'!J46-'4.1. Samtryggingard.'!J48+'4.1. Samtryggingard.'!J50</f>
        <v>2124</v>
      </c>
      <c r="L55" s="76">
        <f>+'4.1. Samtryggingard.'!K46-'4.1. Samtryggingard.'!K48+'4.1. Samtryggingard.'!K50</f>
        <v>49224</v>
      </c>
      <c r="M55" s="76">
        <f>+'4.1. Samtryggingard.'!L46-'4.1. Samtryggingard.'!L48+'4.1. Samtryggingard.'!L50</f>
        <v>49847</v>
      </c>
      <c r="N55" s="76">
        <f>+'4.1. Samtryggingard.'!M46-'4.1. Samtryggingard.'!M48+'4.1. Samtryggingard.'!M50</f>
        <v>8302</v>
      </c>
      <c r="O55" s="76">
        <f>+'4.1. Samtryggingard.'!N46-'4.1. Samtryggingard.'!N48+'4.1. Samtryggingard.'!N50</f>
        <v>3759</v>
      </c>
      <c r="P55" s="76">
        <f>+'4.1. Samtryggingard.'!O46-'4.1. Samtryggingard.'!O48+'4.1. Samtryggingard.'!O50</f>
        <v>36336</v>
      </c>
      <c r="Q55" s="76">
        <f>+'4.1. Samtryggingard.'!P46-'4.1. Samtryggingard.'!P48+'4.1. Samtryggingard.'!P50</f>
        <v>27869</v>
      </c>
      <c r="R55" s="76">
        <f>+'4.1. Samtryggingard.'!Q46-'4.1. Samtryggingard.'!Q48+'4.1. Samtryggingard.'!Q50</f>
        <v>6643</v>
      </c>
      <c r="S55" s="76">
        <f>+'4.1. Samtryggingard.'!R46-'4.1. Samtryggingard.'!R48+'4.1. Samtryggingard.'!R50</f>
        <v>24098</v>
      </c>
      <c r="T55" s="76">
        <f>+'4.1. Samtryggingard.'!S46-'4.1. Samtryggingard.'!S48+'4.1. Samtryggingard.'!S50</f>
        <v>10271</v>
      </c>
      <c r="U55" s="76">
        <f>+'4.1. Samtryggingard.'!T46-'4.1. Samtryggingard.'!T48+'4.1. Samtryggingard.'!T50</f>
        <v>11983</v>
      </c>
      <c r="V55" s="76">
        <f>+'4.1. Samtryggingard.'!U46-'4.1. Samtryggingard.'!U48+'4.1. Samtryggingard.'!U50</f>
        <v>14135</v>
      </c>
      <c r="W55" s="76">
        <f>+'4.1. Samtryggingard.'!V46-'4.1. Samtryggingard.'!V48+'4.1. Samtryggingard.'!V50</f>
        <v>39692</v>
      </c>
      <c r="X55" s="76">
        <f>+'4.1. Samtryggingard.'!W46-'4.1. Samtryggingard.'!W48+'4.1. Samtryggingard.'!W50</f>
        <v>784</v>
      </c>
      <c r="Y55" s="76">
        <f>+'4.1. Samtryggingard.'!X46-'4.1. Samtryggingard.'!X48+'4.1. Samtryggingard.'!X50</f>
        <v>27216</v>
      </c>
      <c r="Z55" s="76">
        <f>+'4.1. Samtryggingard.'!Y46-'4.1. Samtryggingard.'!Y48+'4.1. Samtryggingard.'!Y50</f>
        <v>29996</v>
      </c>
      <c r="AA55" s="76">
        <f>+'4.1. Samtryggingard.'!Z46-'4.1. Samtryggingard.'!Z48+'4.1. Samtryggingard.'!Z50</f>
        <v>17546</v>
      </c>
      <c r="AB55" s="76">
        <f>+'4.1. Samtryggingard.'!AA46-'4.1. Samtryggingard.'!AA48+'4.1. Samtryggingard.'!AA50</f>
        <v>21929</v>
      </c>
      <c r="AC55" s="76">
        <f>+'4.1. Samtryggingard.'!AB46-'4.1. Samtryggingard.'!AB48+'4.1. Samtryggingard.'!AB50</f>
        <v>24984.665999999997</v>
      </c>
      <c r="AD55" s="76">
        <f>+'4.1. Samtryggingard.'!AC46-'4.1. Samtryggingard.'!AC48+'4.1. Samtryggingard.'!AC50</f>
        <v>32228</v>
      </c>
      <c r="AE55" s="76">
        <f>+'4.1. Samtryggingard.'!AD46-'4.1. Samtryggingard.'!AD48+'4.1. Samtryggingard.'!AD50</f>
        <v>13747</v>
      </c>
      <c r="AF55" s="76">
        <f>+'4.1. Samtryggingard.'!AE46-'4.1. Samtryggingard.'!AE48+'4.1. Samtryggingard.'!AE50</f>
        <v>6848</v>
      </c>
      <c r="AG55" s="76">
        <f>+'4.1. Samtryggingard.'!AF46-'4.1. Samtryggingard.'!AF48+'4.1. Samtryggingard.'!AF50</f>
        <v>3518.731</v>
      </c>
      <c r="AH55" s="76">
        <f>+'4.1. Samtryggingard.'!AG46-'4.1. Samtryggingard.'!AG48+'4.1. Samtryggingard.'!AG50</f>
        <v>35109</v>
      </c>
      <c r="AI55" s="76">
        <f>+'4.1. Samtryggingard.'!AH46-'4.1. Samtryggingard.'!AH48+'4.1. Samtryggingard.'!AH50</f>
        <v>2927</v>
      </c>
      <c r="AJ55" s="76">
        <f>+'4.1. Samtryggingard.'!AI46-'4.1. Samtryggingard.'!AI48+'4.1. Samtryggingard.'!AI50</f>
        <v>1959</v>
      </c>
      <c r="AK55" s="76">
        <f>+'4.1. Samtryggingard.'!AJ46-'4.1. Samtryggingard.'!AJ48+'4.1. Samtryggingard.'!AJ50</f>
        <v>18400</v>
      </c>
      <c r="AL55" s="76">
        <f>+'4.1. Samtryggingard.'!AK46-'4.1. Samtryggingard.'!AK48+'4.1. Samtryggingard.'!AK50</f>
        <v>1128.68</v>
      </c>
      <c r="AM55" s="76">
        <f>+'4.1. Samtryggingard.'!AL46-'4.1. Samtryggingard.'!AL48+'4.1. Samtryggingard.'!AL50</f>
        <v>2402</v>
      </c>
      <c r="AN55" s="76">
        <f>+'4.1. Samtryggingard.'!AM46-'4.1. Samtryggingard.'!AM48+'4.1. Samtryggingard.'!AM50</f>
        <v>7087</v>
      </c>
      <c r="AO55" s="76">
        <f>+'4.1. Samtryggingard.'!AN46-'4.1. Samtryggingard.'!AN48+'4.1. Samtryggingard.'!AN50</f>
        <v>791</v>
      </c>
      <c r="AP55" s="76">
        <f>+'4.1. Samtryggingard.'!AO46-'4.1. Samtryggingard.'!AO48+'4.1. Samtryggingard.'!AO50</f>
        <v>3672</v>
      </c>
      <c r="AQ55" s="76">
        <f>+'4.1. Samtryggingard.'!AP46-'4.1. Samtryggingard.'!AP48+'4.1. Samtryggingard.'!AP50</f>
        <v>4849</v>
      </c>
      <c r="AR55" s="76">
        <f>+'4.1. Samtryggingard.'!AQ46-'4.1. Samtryggingard.'!AQ48+'4.1. Samtryggingard.'!AQ50</f>
        <v>989</v>
      </c>
      <c r="AS55" s="76">
        <f>+'4.1. Samtryggingard.'!AR46-'4.1. Samtryggingard.'!AR48+'4.1. Samtryggingard.'!AR50</f>
        <v>-2111</v>
      </c>
      <c r="AT55" s="76">
        <f>+'4.1. Samtryggingard.'!AS46-'4.1. Samtryggingard.'!AS48+'4.1. Samtryggingard.'!AS50</f>
        <v>448</v>
      </c>
      <c r="AU55" s="76">
        <f>+'4.1. Samtryggingard.'!AT46-'4.1. Samtryggingard.'!AT48+'4.1. Samtryggingard.'!AT50</f>
        <v>7907</v>
      </c>
      <c r="AV55" s="76">
        <f>+'4.1. Samtryggingard.'!AU46-'4.1. Samtryggingard.'!AU48+'4.1. Samtryggingard.'!AU50</f>
        <v>3080.927</v>
      </c>
      <c r="AW55" s="76">
        <f>+'4.1. Samtryggingard.'!AV46-'4.1. Samtryggingard.'!AV48+'4.1. Samtryggingard.'!AV50</f>
        <v>2044</v>
      </c>
      <c r="AX55" s="76">
        <f>+'4.1. Samtryggingard.'!AW46-'4.1. Samtryggingard.'!AW48+'4.1. Samtryggingard.'!AW50</f>
        <v>3706</v>
      </c>
      <c r="AY55" s="76">
        <f>+'4.1. Samtryggingard.'!AX46-'4.1. Samtryggingard.'!AX48+'4.1. Samtryggingard.'!AX50</f>
        <v>680</v>
      </c>
      <c r="AZ55" s="76">
        <f>+'4.1. Samtryggingard.'!AY46-'4.1. Samtryggingard.'!AY48+'4.1. Samtryggingard.'!AY50</f>
        <v>896</v>
      </c>
      <c r="BA55" s="76">
        <f>+'4.1. Samtryggingard.'!AZ46-'4.1. Samtryggingard.'!AZ48+'4.1. Samtryggingard.'!AZ50</f>
        <v>1450</v>
      </c>
      <c r="BB55" s="76">
        <f>+'4.1. Samtryggingard.'!BA46-'4.1. Samtryggingard.'!BA48+'4.1. Samtryggingard.'!BA50</f>
        <v>2486</v>
      </c>
      <c r="BC55" s="76">
        <f>+'4.1. Samtryggingard.'!BB46-'4.1. Samtryggingard.'!BB48+'4.1. Samtryggingard.'!BB50</f>
        <v>965</v>
      </c>
      <c r="BD55" s="76">
        <f>+'4.1. Samtryggingard.'!BC46-'4.1. Samtryggingard.'!BC48+'4.1. Samtryggingard.'!BC50</f>
        <v>239.386</v>
      </c>
      <c r="BE55" s="76">
        <f>+'4.1. Samtryggingard.'!BD46-'4.1. Samtryggingard.'!BD48+'4.1. Samtryggingard.'!BD50</f>
        <v>2645</v>
      </c>
      <c r="BF55" s="76">
        <f>+'4.1. Samtryggingard.'!BE46-'4.1. Samtryggingard.'!BE48+'4.1. Samtryggingard.'!BE50</f>
        <v>1396</v>
      </c>
      <c r="BG55" s="76">
        <f>+'4.1. Samtryggingard.'!BF46-'4.1. Samtryggingard.'!BF48+'4.1. Samtryggingard.'!BF50</f>
        <v>2344</v>
      </c>
      <c r="BH55" s="76">
        <f>+'4.1. Samtryggingard.'!BG46-'4.1. Samtryggingard.'!BG48+'4.1. Samtryggingard.'!BG50</f>
        <v>609</v>
      </c>
      <c r="BI55" s="76">
        <f>+'4.1. Samtryggingard.'!BH46-'4.1. Samtryggingard.'!BH48+'4.1. Samtryggingard.'!BH50</f>
        <v>243</v>
      </c>
      <c r="BJ55" s="59"/>
      <c r="BK55" s="363">
        <f>+'4.1. Samtryggingard.'!BJ46-'4.1. Samtryggingard.'!BJ48+'4.1. Samtryggingard.'!BJ50</f>
        <v>1093255.3899999997</v>
      </c>
      <c r="BL55" s="363"/>
      <c r="BM55" s="363">
        <f>+'4.1. Samtryggingard.'!BL46-'4.1. Samtryggingard.'!BL48+'4.1. Samtryggingard.'!BL50</f>
        <v>217328</v>
      </c>
      <c r="BN55" s="363">
        <f>+'4.1. Samtryggingard.'!BM46-'4.1. Samtryggingard.'!BM48+'4.1. Samtryggingard.'!BM50</f>
        <v>875927.3900000001</v>
      </c>
    </row>
    <row r="56" spans="1:66" ht="12.75">
      <c r="A56" s="30"/>
      <c r="B56" s="101"/>
      <c r="P56" s="2"/>
      <c r="Q56" s="2"/>
      <c r="R56" s="2"/>
      <c r="AS56" s="2"/>
      <c r="AX56" s="2"/>
      <c r="BH56" s="2"/>
      <c r="BJ56" s="59"/>
      <c r="BL56" s="59"/>
      <c r="BM56" s="16"/>
      <c r="BN56" s="16"/>
    </row>
    <row r="57" spans="1:66" ht="12.75">
      <c r="A57" s="33" t="s">
        <v>325</v>
      </c>
      <c r="B57" s="101"/>
      <c r="C57" s="100">
        <f>+'4.1. Samtryggingard.'!B63+'4.1. Samtryggingard.'!B65-('4.2 Kennitölur (samtr)'!C54-'4.2 Kennitölur (samtr)'!C55)</f>
        <v>185738955</v>
      </c>
      <c r="D57" s="100">
        <f>+'4.1. Samtryggingard.'!C63+'4.1. Samtryggingard.'!C65-('4.2 Kennitölur (samtr)'!D54-'4.2 Kennitölur (samtr)'!D55)</f>
        <v>55899402.6</v>
      </c>
      <c r="E57" s="100">
        <f>+'4.1. Samtryggingard.'!D63+'4.1. Samtryggingard.'!D65-('4.2 Kennitölur (samtr)'!E54-'4.2 Kennitölur (samtr)'!E55)</f>
        <v>392238</v>
      </c>
      <c r="F57" s="100">
        <f>+'4.1. Samtryggingard.'!E63+'4.1. Samtryggingard.'!E65-('4.2 Kennitölur (samtr)'!F54-'4.2 Kennitölur (samtr)'!F55)</f>
        <v>69806</v>
      </c>
      <c r="G57" s="100">
        <f>+'4.1. Samtryggingard.'!F63+'4.1. Samtryggingard.'!F65-('4.2 Kennitölur (samtr)'!G54-'4.2 Kennitölur (samtr)'!G55)</f>
        <v>207032768</v>
      </c>
      <c r="H57" s="100">
        <f>+'4.1. Samtryggingard.'!G63+'4.1. Samtryggingard.'!G65-('4.2 Kennitölur (samtr)'!H54-'4.2 Kennitölur (samtr)'!H55)</f>
        <v>107729630</v>
      </c>
      <c r="I57" s="100">
        <f>+'4.1. Samtryggingard.'!H63+'4.1. Samtryggingard.'!H65-('4.2 Kennitölur (samtr)'!I54-'4.2 Kennitölur (samtr)'!I55)</f>
        <v>94511841</v>
      </c>
      <c r="J57" s="100">
        <f>+'4.1. Samtryggingard.'!I63+'4.1. Samtryggingard.'!I65-('4.2 Kennitölur (samtr)'!J54-'4.2 Kennitölur (samtr)'!J55)</f>
        <v>90700822</v>
      </c>
      <c r="K57" s="100">
        <f>+'4.1. Samtryggingard.'!J63+'4.1. Samtryggingard.'!J65-('4.2 Kennitölur (samtr)'!K54-'4.2 Kennitölur (samtr)'!K55)</f>
        <v>1390678</v>
      </c>
      <c r="L57" s="100">
        <f>+'4.1. Samtryggingard.'!K63+'4.1. Samtryggingard.'!K65-('4.2 Kennitölur (samtr)'!L54-'4.2 Kennitölur (samtr)'!L55)</f>
        <v>56324307</v>
      </c>
      <c r="M57" s="100">
        <f>+'4.1. Samtryggingard.'!L63+'4.1. Samtryggingard.'!L65-('4.2 Kennitölur (samtr)'!M54-'4.2 Kennitölur (samtr)'!M55)</f>
        <v>48938726</v>
      </c>
      <c r="N57" s="100">
        <f>+'4.1. Samtryggingard.'!M63+'4.1. Samtryggingard.'!M65-('4.2 Kennitölur (samtr)'!N54-'4.2 Kennitölur (samtr)'!N55)</f>
        <v>7509865</v>
      </c>
      <c r="O57" s="100">
        <f>+'4.1. Samtryggingard.'!N63+'4.1. Samtryggingard.'!N65-('4.2 Kennitölur (samtr)'!O54-'4.2 Kennitölur (samtr)'!O55)</f>
        <v>4543758</v>
      </c>
      <c r="P57" s="100">
        <f>+'4.1. Samtryggingard.'!O63+'4.1. Samtryggingard.'!O65-('4.2 Kennitölur (samtr)'!P54-'4.2 Kennitölur (samtr)'!P55)</f>
        <v>38743603</v>
      </c>
      <c r="Q57" s="100">
        <f>+'4.1. Samtryggingard.'!P63+'4.1. Samtryggingard.'!P65-('4.2 Kennitölur (samtr)'!Q54-'4.2 Kennitölur (samtr)'!Q55)</f>
        <v>32115517</v>
      </c>
      <c r="R57" s="100">
        <f>+'4.1. Samtryggingard.'!Q63+'4.1. Samtryggingard.'!Q65-('4.2 Kennitölur (samtr)'!R54-'4.2 Kennitölur (samtr)'!R55)</f>
        <v>7703197</v>
      </c>
      <c r="S57" s="100">
        <f>+'4.1. Samtryggingard.'!R63+'4.1. Samtryggingard.'!R65-('4.2 Kennitölur (samtr)'!S54-'4.2 Kennitölur (samtr)'!S55)</f>
        <v>31229276</v>
      </c>
      <c r="T57" s="100">
        <f>+'4.1. Samtryggingard.'!S63+'4.1. Samtryggingard.'!S65-('4.2 Kennitölur (samtr)'!T54-'4.2 Kennitölur (samtr)'!T55)</f>
        <v>2325660</v>
      </c>
      <c r="U57" s="100">
        <f>+'4.1. Samtryggingard.'!T63+'4.1. Samtryggingard.'!T65-('4.2 Kennitölur (samtr)'!U54-'4.2 Kennitölur (samtr)'!U55)</f>
        <v>26966424</v>
      </c>
      <c r="V57" s="100">
        <f>+'4.1. Samtryggingard.'!U63+'4.1. Samtryggingard.'!U65-('4.2 Kennitölur (samtr)'!V54-'4.2 Kennitölur (samtr)'!V55)</f>
        <v>26457846</v>
      </c>
      <c r="W57" s="100">
        <f>+'4.1. Samtryggingard.'!V63+'4.1. Samtryggingard.'!V65-('4.2 Kennitölur (samtr)'!W54-'4.2 Kennitölur (samtr)'!W55)</f>
        <v>25408364</v>
      </c>
      <c r="X57" s="100">
        <f>+'4.1. Samtryggingard.'!W63+'4.1. Samtryggingard.'!W65-('4.2 Kennitölur (samtr)'!X54-'4.2 Kennitölur (samtr)'!X55)</f>
        <v>507389</v>
      </c>
      <c r="Y57" s="100">
        <f>+'4.1. Samtryggingard.'!X63+'4.1. Samtryggingard.'!X65-('4.2 Kennitölur (samtr)'!Y54-'4.2 Kennitölur (samtr)'!Y55)</f>
        <v>24305241</v>
      </c>
      <c r="Z57" s="100">
        <f>+'4.1. Samtryggingard.'!Y63+'4.1. Samtryggingard.'!Y65-('4.2 Kennitölur (samtr)'!Z54-'4.2 Kennitölur (samtr)'!Z55)</f>
        <v>23902456</v>
      </c>
      <c r="AA57" s="100">
        <f>+'4.1. Samtryggingard.'!Z63+'4.1. Samtryggingard.'!Z65-('4.2 Kennitölur (samtr)'!AA54-'4.2 Kennitölur (samtr)'!AA55)</f>
        <v>21812660</v>
      </c>
      <c r="AB57" s="100">
        <f>+'4.1. Samtryggingard.'!AA63+'4.1. Samtryggingard.'!AA65-('4.2 Kennitölur (samtr)'!AB54-'4.2 Kennitölur (samtr)'!AB55)</f>
        <v>22807979</v>
      </c>
      <c r="AC57" s="100">
        <f>+'4.1. Samtryggingard.'!AB63+'4.1. Samtryggingard.'!AB65-('4.2 Kennitölur (samtr)'!AC54-'4.2 Kennitölur (samtr)'!AC55)</f>
        <v>22561659.1285</v>
      </c>
      <c r="AD57" s="100">
        <f>+'4.1. Samtryggingard.'!AC63+'4.1. Samtryggingard.'!AC65-('4.2 Kennitölur (samtr)'!AD54-'4.2 Kennitölur (samtr)'!AD55)</f>
        <v>12732461</v>
      </c>
      <c r="AE57" s="100">
        <f>+'4.1. Samtryggingard.'!AD63+'4.1. Samtryggingard.'!AD65-('4.2 Kennitölur (samtr)'!AE54-'4.2 Kennitölur (samtr)'!AE55)</f>
        <v>16669335</v>
      </c>
      <c r="AF57" s="100">
        <f>+'4.1. Samtryggingard.'!AE63+'4.1. Samtryggingard.'!AE65-('4.2 Kennitölur (samtr)'!AF54-'4.2 Kennitölur (samtr)'!AF55)</f>
        <v>15800824</v>
      </c>
      <c r="AG57" s="100">
        <f>+'4.1. Samtryggingard.'!AF63+'4.1. Samtryggingard.'!AF65-('4.2 Kennitölur (samtr)'!AG54-'4.2 Kennitölur (samtr)'!AG55)</f>
        <v>1070480.481</v>
      </c>
      <c r="AH57" s="100">
        <f>+'4.1. Samtryggingard.'!AG63+'4.1. Samtryggingard.'!AG65-('4.2 Kennitölur (samtr)'!AH54-'4.2 Kennitölur (samtr)'!AH55)</f>
        <v>10426829</v>
      </c>
      <c r="AI57" s="100">
        <f>+'4.1. Samtryggingard.'!AH63+'4.1. Samtryggingard.'!AH65-('4.2 Kennitölur (samtr)'!AI54-'4.2 Kennitölur (samtr)'!AI55)</f>
        <v>860659</v>
      </c>
      <c r="AJ57" s="100">
        <f>+'4.1. Samtryggingard.'!AI63+'4.1. Samtryggingard.'!AI65-('4.2 Kennitölur (samtr)'!AJ54-'4.2 Kennitölur (samtr)'!AJ55)</f>
        <v>13283490</v>
      </c>
      <c r="AK57" s="100">
        <f>+'4.1. Samtryggingard.'!AJ63+'4.1. Samtryggingard.'!AJ65-('4.2 Kennitölur (samtr)'!AK54-'4.2 Kennitölur (samtr)'!AK55)</f>
        <v>11083500</v>
      </c>
      <c r="AL57" s="100">
        <f>+'4.1. Samtryggingard.'!AK63+'4.1. Samtryggingard.'!AK65-('4.2 Kennitölur (samtr)'!AL54-'4.2 Kennitölur (samtr)'!AL55)</f>
        <v>714974.3729999999</v>
      </c>
      <c r="AM57" s="100">
        <f>+'4.1. Samtryggingard.'!AL63+'4.1. Samtryggingard.'!AL65-('4.2 Kennitölur (samtr)'!AM54-'4.2 Kennitölur (samtr)'!AM55)</f>
        <v>5616514</v>
      </c>
      <c r="AN57" s="100">
        <f>+'4.1. Samtryggingard.'!AM63+'4.1. Samtryggingard.'!AM65-('4.2 Kennitölur (samtr)'!AN54-'4.2 Kennitölur (samtr)'!AN55)</f>
        <v>4711365</v>
      </c>
      <c r="AO57" s="100">
        <f>+'4.1. Samtryggingard.'!AN63+'4.1. Samtryggingard.'!AN65-('4.2 Kennitölur (samtr)'!AO54-'4.2 Kennitölur (samtr)'!AO55)</f>
        <v>389849</v>
      </c>
      <c r="AP57" s="100">
        <f>+'4.1. Samtryggingard.'!AO63+'4.1. Samtryggingard.'!AO65-('4.2 Kennitölur (samtr)'!AP54-'4.2 Kennitölur (samtr)'!AP55)</f>
        <v>4823188</v>
      </c>
      <c r="AQ57" s="100">
        <f>+'4.1. Samtryggingard.'!AP63+'4.1. Samtryggingard.'!AP65-('4.2 Kennitölur (samtr)'!AQ54-'4.2 Kennitölur (samtr)'!AQ55)</f>
        <v>4040618</v>
      </c>
      <c r="AR57" s="100">
        <f>+'4.1. Samtryggingard.'!AQ63+'4.1. Samtryggingard.'!AQ65-('4.2 Kennitölur (samtr)'!AR54-'4.2 Kennitölur (samtr)'!AR55)</f>
        <v>4121474</v>
      </c>
      <c r="AS57" s="100">
        <f>+'4.1. Samtryggingard.'!AR63+'4.1. Samtryggingard.'!AR65-('4.2 Kennitölur (samtr)'!AS54-'4.2 Kennitölur (samtr)'!AS55)</f>
        <v>2818514</v>
      </c>
      <c r="AT57" s="100">
        <f>+'4.1. Samtryggingard.'!AS63+'4.1. Samtryggingard.'!AS65-('4.2 Kennitölur (samtr)'!AT54-'4.2 Kennitölur (samtr)'!AT55)</f>
        <v>198532</v>
      </c>
      <c r="AU57" s="100">
        <f>+'4.1. Samtryggingard.'!AT63+'4.1. Samtryggingard.'!AT65-('4.2 Kennitölur (samtr)'!AU54-'4.2 Kennitölur (samtr)'!AU55)</f>
        <v>2635601</v>
      </c>
      <c r="AV57" s="100">
        <f>+'4.1. Samtryggingard.'!AU63+'4.1. Samtryggingard.'!AU65-('4.2 Kennitölur (samtr)'!AV54-'4.2 Kennitölur (samtr)'!AV55)</f>
        <v>2639019.9209999996</v>
      </c>
      <c r="AW57" s="100">
        <f>+'4.1. Samtryggingard.'!AV63+'4.1. Samtryggingard.'!AV65-('4.2 Kennitölur (samtr)'!AW54-'4.2 Kennitölur (samtr)'!AW55)</f>
        <v>2437974</v>
      </c>
      <c r="AX57" s="100">
        <f>+'4.1. Samtryggingard.'!AW63+'4.1. Samtryggingard.'!AW65-('4.2 Kennitölur (samtr)'!AX54-'4.2 Kennitölur (samtr)'!AX55)</f>
        <v>2162735</v>
      </c>
      <c r="AY57" s="100">
        <f>+'4.1. Samtryggingard.'!AX63+'4.1. Samtryggingard.'!AX65-('4.2 Kennitölur (samtr)'!AY54-'4.2 Kennitölur (samtr)'!AY55)</f>
        <v>1552472</v>
      </c>
      <c r="AZ57" s="100">
        <f>+'4.1. Samtryggingard.'!AY63+'4.1. Samtryggingard.'!AY65-('4.2 Kennitölur (samtr)'!AZ54-'4.2 Kennitölur (samtr)'!AZ55)</f>
        <v>1223184</v>
      </c>
      <c r="BA57" s="100">
        <f>+'4.1. Samtryggingard.'!AZ63+'4.1. Samtryggingard.'!AZ65-('4.2 Kennitölur (samtr)'!BA54-'4.2 Kennitölur (samtr)'!BA55)</f>
        <v>1119685</v>
      </c>
      <c r="BB57" s="100">
        <f>+'4.1. Samtryggingard.'!BA63+'4.1. Samtryggingard.'!BA65-('4.2 Kennitölur (samtr)'!BB54-'4.2 Kennitölur (samtr)'!BB55)</f>
        <v>988495</v>
      </c>
      <c r="BC57" s="100">
        <f>+'4.1. Samtryggingard.'!BB63+'4.1. Samtryggingard.'!BB65-('4.2 Kennitölur (samtr)'!BC54-'4.2 Kennitölur (samtr)'!BC55)</f>
        <v>902458</v>
      </c>
      <c r="BD57" s="100">
        <f>+'4.1. Samtryggingard.'!BC63+'4.1. Samtryggingard.'!BC65-('4.2 Kennitölur (samtr)'!BD54-'4.2 Kennitölur (samtr)'!BD55)</f>
        <v>854339.4879999999</v>
      </c>
      <c r="BE57" s="100">
        <f>+'4.1. Samtryggingard.'!BD63+'4.1. Samtryggingard.'!BD65-('4.2 Kennitölur (samtr)'!BE54-'4.2 Kennitölur (samtr)'!BE55)</f>
        <v>682771</v>
      </c>
      <c r="BF57" s="100">
        <f>+'4.1. Samtryggingard.'!BE63+'4.1. Samtryggingard.'!BE65-('4.2 Kennitölur (samtr)'!BF54-'4.2 Kennitölur (samtr)'!BF55)</f>
        <v>368281</v>
      </c>
      <c r="BG57" s="100">
        <f>+'4.1. Samtryggingard.'!BF63+'4.1. Samtryggingard.'!BF65-('4.2 Kennitölur (samtr)'!BG54-'4.2 Kennitölur (samtr)'!BG55)</f>
        <v>198211</v>
      </c>
      <c r="BH57" s="100">
        <f>+'4.1. Samtryggingard.'!BG63+'4.1. Samtryggingard.'!BG65-('4.2 Kennitölur (samtr)'!BH54-'4.2 Kennitölur (samtr)'!BH55)</f>
        <v>54084</v>
      </c>
      <c r="BI57" s="100">
        <f>+'4.1. Samtryggingard.'!BH63+'4.1. Samtryggingard.'!BH65-('4.2 Kennitölur (samtr)'!BI54-'4.2 Kennitölur (samtr)'!BI55)</f>
        <v>16779.698</v>
      </c>
      <c r="BJ57" s="59"/>
      <c r="BK57" s="363">
        <f>+'4.1. Samtryggingard.'!BJ63+'4.1. Samtryggingard.'!BJ65-('4.2 Kennitölur (samtr)'!BK54-'4.2 Kennitölur (samtr)'!BK55)</f>
        <v>1294828764.6895</v>
      </c>
      <c r="BL57" s="363"/>
      <c r="BM57" s="363">
        <f>+'4.1. Samtryggingard.'!BL63+'4.1. Samtryggingard.'!BL65-('4.2 Kennitölur (samtr)'!BM54-'4.2 Kennitölur (samtr)'!BM55)</f>
        <v>238213647</v>
      </c>
      <c r="BN57" s="363">
        <f>+'4.1. Samtryggingard.'!BM63+'4.1. Samtryggingard.'!BM65-('4.2 Kennitölur (samtr)'!BN54-'4.2 Kennitölur (samtr)'!BN55)</f>
        <v>1056615117.6895001</v>
      </c>
    </row>
    <row r="58" spans="1:66" ht="12.75">
      <c r="A58" s="33" t="s">
        <v>437</v>
      </c>
      <c r="B58" s="101"/>
      <c r="P58" s="2"/>
      <c r="Q58" s="2"/>
      <c r="R58" s="2"/>
      <c r="AS58" s="2"/>
      <c r="AX58" s="2"/>
      <c r="BH58" s="2"/>
      <c r="BJ58" s="59"/>
      <c r="BK58" s="363"/>
      <c r="BL58" s="363"/>
      <c r="BM58" s="363"/>
      <c r="BN58" s="363"/>
    </row>
    <row r="59" spans="1:66" ht="12.75">
      <c r="A59" s="33" t="s">
        <v>326</v>
      </c>
      <c r="B59" s="101"/>
      <c r="C59" s="61">
        <f>(2*(C54-C55))/C57</f>
        <v>0.135156375785575</v>
      </c>
      <c r="D59" s="61">
        <f aca="true" t="shared" si="10" ref="D59:M59">(2*(D54-D55))/D57</f>
        <v>0.14057420356045092</v>
      </c>
      <c r="E59" s="61">
        <f t="shared" si="10"/>
        <v>0.06401725482997568</v>
      </c>
      <c r="F59" s="61">
        <f t="shared" si="10"/>
        <v>0.03478211042030771</v>
      </c>
      <c r="G59" s="61">
        <f t="shared" si="10"/>
        <v>0.1506073956370037</v>
      </c>
      <c r="H59" s="61">
        <f t="shared" si="10"/>
        <v>0.1699790856053251</v>
      </c>
      <c r="I59" s="61">
        <f t="shared" si="10"/>
        <v>0.1819633584325164</v>
      </c>
      <c r="J59" s="61">
        <f t="shared" si="10"/>
        <v>0.10083410269424019</v>
      </c>
      <c r="K59" s="61">
        <f t="shared" si="10"/>
        <v>0.10071921753274302</v>
      </c>
      <c r="L59" s="61">
        <f t="shared" si="10"/>
        <v>0.11758028376629649</v>
      </c>
      <c r="M59" s="61">
        <f t="shared" si="10"/>
        <v>0.12790443298421786</v>
      </c>
      <c r="N59" s="61">
        <f>(2*(N54-N55))/N57</f>
        <v>0.16286551089799883</v>
      </c>
      <c r="O59" s="61">
        <f aca="true" t="shared" si="11" ref="O59:AR59">(2*(O54-O55))/O57</f>
        <v>0.1954148966560279</v>
      </c>
      <c r="P59" s="61">
        <f t="shared" si="11"/>
        <v>0.12757708672577509</v>
      </c>
      <c r="Q59" s="61">
        <f>(2*(Q54-Q55))/Q57</f>
        <v>0.12302887728695135</v>
      </c>
      <c r="R59" s="61">
        <f>(2*(R54-R55))/R57</f>
        <v>0.12060862522404658</v>
      </c>
      <c r="S59" s="61">
        <f t="shared" si="11"/>
        <v>0.15390968397730387</v>
      </c>
      <c r="T59" s="61">
        <f t="shared" si="11"/>
        <v>0.14618129907209138</v>
      </c>
      <c r="U59" s="61">
        <f t="shared" si="11"/>
        <v>0.14199235315739306</v>
      </c>
      <c r="V59" s="61">
        <f t="shared" si="11"/>
        <v>0.15996230380961474</v>
      </c>
      <c r="W59" s="61">
        <f t="shared" si="11"/>
        <v>0.15763769757076843</v>
      </c>
      <c r="X59" s="61">
        <f t="shared" si="11"/>
        <v>0.12961652696451834</v>
      </c>
      <c r="Y59" s="61">
        <f t="shared" si="11"/>
        <v>0.12657434666045894</v>
      </c>
      <c r="Z59" s="61">
        <f t="shared" si="11"/>
        <v>0.13266996496092284</v>
      </c>
      <c r="AA59" s="61">
        <f>(2*(AA54-AA55))/AA57</f>
        <v>0.1486150703307162</v>
      </c>
      <c r="AB59" s="61">
        <f>(2*(AB54-AB55))/AB57</f>
        <v>0.12158683590510146</v>
      </c>
      <c r="AC59" s="61">
        <f t="shared" si="11"/>
        <v>0.1350109099092003</v>
      </c>
      <c r="AD59" s="61">
        <f>(2*(AD54-AD55))/AD57</f>
        <v>0.13539032242077945</v>
      </c>
      <c r="AE59" s="61">
        <f t="shared" si="11"/>
        <v>0.13441304047222039</v>
      </c>
      <c r="AF59" s="61">
        <f t="shared" si="11"/>
        <v>0.132417271403061</v>
      </c>
      <c r="AG59" s="61">
        <f>(2*(AG54-AG55))/AG57</f>
        <v>0.17310786631708797</v>
      </c>
      <c r="AH59" s="61">
        <f>(2*(AH54-AH55))/AH57</f>
        <v>0.12204650138599185</v>
      </c>
      <c r="AI59" s="61">
        <f>(2*(AI54-AI55))/AI57</f>
        <v>0.13145508267501996</v>
      </c>
      <c r="AJ59" s="61">
        <f>(2*(AJ54-AJ55))/AJ57</f>
        <v>0.14021887320275017</v>
      </c>
      <c r="AK59" s="61">
        <f t="shared" si="11"/>
        <v>0.14201542833942346</v>
      </c>
      <c r="AL59" s="61">
        <f t="shared" si="11"/>
        <v>0.1524722313368846</v>
      </c>
      <c r="AM59" s="61">
        <f t="shared" si="11"/>
        <v>0.12215299383211722</v>
      </c>
      <c r="AN59" s="61">
        <f t="shared" si="11"/>
        <v>0.1026139982786305</v>
      </c>
      <c r="AO59" s="61">
        <f t="shared" si="11"/>
        <v>0.05885868631187973</v>
      </c>
      <c r="AP59" s="61">
        <f t="shared" si="11"/>
        <v>0.09623012828859252</v>
      </c>
      <c r="AQ59" s="61">
        <f>(2*(AQ54-AQ55))/AQ57</f>
        <v>0.11968466209871856</v>
      </c>
      <c r="AR59" s="61">
        <f t="shared" si="11"/>
        <v>0.11558389061777413</v>
      </c>
      <c r="AS59" s="61">
        <f aca="true" t="shared" si="12" ref="AS59:BG59">(2*(AS54-AS55))/AS57</f>
        <v>0.13549977044641254</v>
      </c>
      <c r="AT59" s="61">
        <f>(2*(AT54-AT55))/AT57</f>
        <v>0.15701247154111175</v>
      </c>
      <c r="AU59" s="61">
        <f>(2*(AU54-AU55))/AU57</f>
        <v>0.11229924408133098</v>
      </c>
      <c r="AV59" s="61">
        <f t="shared" si="12"/>
        <v>0.09412837395553712</v>
      </c>
      <c r="AW59" s="61">
        <f t="shared" si="12"/>
        <v>0.1484757425632923</v>
      </c>
      <c r="AX59" s="61">
        <f t="shared" si="12"/>
        <v>0.11362464657019931</v>
      </c>
      <c r="AY59" s="61">
        <f t="shared" si="12"/>
        <v>0.16533760351233387</v>
      </c>
      <c r="AZ59" s="61">
        <f t="shared" si="12"/>
        <v>0.11851855485356251</v>
      </c>
      <c r="BA59" s="61">
        <f t="shared" si="12"/>
        <v>0.09902606536659864</v>
      </c>
      <c r="BB59" s="61">
        <f t="shared" si="12"/>
        <v>0.11323476598263016</v>
      </c>
      <c r="BC59" s="61">
        <f t="shared" si="12"/>
        <v>0.12077681177406593</v>
      </c>
      <c r="BD59" s="61">
        <f t="shared" si="12"/>
        <v>0.10473048624904485</v>
      </c>
      <c r="BE59" s="61">
        <f t="shared" si="12"/>
        <v>0.0800268318367359</v>
      </c>
      <c r="BF59" s="61">
        <f t="shared" si="12"/>
        <v>0.07344934981712334</v>
      </c>
      <c r="BG59" s="61">
        <f t="shared" si="12"/>
        <v>0.03755593786419523</v>
      </c>
      <c r="BH59" s="61">
        <f>(2*(BH54-BH55))/BH57</f>
        <v>-0.012646993565564677</v>
      </c>
      <c r="BI59" s="61">
        <f>(2*(BI54-BI55))/BI57</f>
        <v>0.0506564540076943</v>
      </c>
      <c r="BJ59" s="59"/>
      <c r="BK59" s="61">
        <f>(2*(BK54-BK55))/BK57</f>
        <v>0.14105038247725066</v>
      </c>
      <c r="BL59" s="61"/>
      <c r="BM59" s="61">
        <f>(2*(BM54-BM55))/BM57</f>
        <v>0.13511649061818864</v>
      </c>
      <c r="BN59" s="61">
        <f>(2*(BN54-BN55))/BN57</f>
        <v>0.14238817709800314</v>
      </c>
    </row>
    <row r="60" spans="1:66" ht="12.75">
      <c r="A60" s="102" t="s">
        <v>438</v>
      </c>
      <c r="B60" s="314"/>
      <c r="C60" s="61">
        <v>0.027</v>
      </c>
      <c r="D60" s="61">
        <v>0.027</v>
      </c>
      <c r="E60" s="61">
        <v>0.027</v>
      </c>
      <c r="F60" s="61">
        <v>0.027</v>
      </c>
      <c r="G60" s="61">
        <v>0.027</v>
      </c>
      <c r="H60" s="61">
        <v>0.027</v>
      </c>
      <c r="I60" s="61">
        <v>0.027</v>
      </c>
      <c r="J60" s="61">
        <v>0.027</v>
      </c>
      <c r="K60" s="61">
        <v>0.027</v>
      </c>
      <c r="L60" s="61">
        <v>0.027</v>
      </c>
      <c r="M60" s="61">
        <v>0.027</v>
      </c>
      <c r="N60" s="61">
        <v>0.027</v>
      </c>
      <c r="O60" s="61">
        <v>0.027</v>
      </c>
      <c r="P60" s="61">
        <v>0.027</v>
      </c>
      <c r="Q60" s="61">
        <v>0.027</v>
      </c>
      <c r="R60" s="61">
        <v>0.027</v>
      </c>
      <c r="S60" s="61">
        <v>0.027</v>
      </c>
      <c r="T60" s="61">
        <v>0.027</v>
      </c>
      <c r="U60" s="61">
        <v>0.027</v>
      </c>
      <c r="V60" s="61">
        <v>0.027</v>
      </c>
      <c r="W60" s="61">
        <v>0.027</v>
      </c>
      <c r="X60" s="61">
        <v>0.027</v>
      </c>
      <c r="Y60" s="61">
        <v>0.027</v>
      </c>
      <c r="Z60" s="61">
        <v>0.027</v>
      </c>
      <c r="AA60" s="61">
        <v>0.027</v>
      </c>
      <c r="AB60" s="61">
        <v>0.027</v>
      </c>
      <c r="AC60" s="61">
        <v>0.027</v>
      </c>
      <c r="AD60" s="61">
        <v>0.027</v>
      </c>
      <c r="AE60" s="61">
        <v>0.027</v>
      </c>
      <c r="AF60" s="61">
        <v>0.027</v>
      </c>
      <c r="AG60" s="61">
        <v>0.027</v>
      </c>
      <c r="AH60" s="61">
        <v>0.027</v>
      </c>
      <c r="AI60" s="61">
        <v>0.027</v>
      </c>
      <c r="AJ60" s="61">
        <v>0.027</v>
      </c>
      <c r="AK60" s="61">
        <v>0.027</v>
      </c>
      <c r="AL60" s="61">
        <v>0.027</v>
      </c>
      <c r="AM60" s="61">
        <v>0.027</v>
      </c>
      <c r="AN60" s="61">
        <v>0.027</v>
      </c>
      <c r="AO60" s="61">
        <v>0.027</v>
      </c>
      <c r="AP60" s="61">
        <v>0.027</v>
      </c>
      <c r="AQ60" s="61">
        <v>0.027</v>
      </c>
      <c r="AR60" s="61">
        <v>0.027</v>
      </c>
      <c r="AS60" s="61">
        <v>0.027</v>
      </c>
      <c r="AT60" s="61">
        <v>0.027</v>
      </c>
      <c r="AU60" s="61">
        <v>0.027</v>
      </c>
      <c r="AV60" s="61">
        <v>0.027</v>
      </c>
      <c r="AW60" s="61">
        <v>0.027</v>
      </c>
      <c r="AX60" s="61">
        <v>0.027</v>
      </c>
      <c r="AY60" s="61">
        <v>0.027</v>
      </c>
      <c r="AZ60" s="61">
        <v>0.027</v>
      </c>
      <c r="BA60" s="61">
        <v>0.027</v>
      </c>
      <c r="BB60" s="61">
        <v>0.027</v>
      </c>
      <c r="BC60" s="61">
        <v>0.027</v>
      </c>
      <c r="BD60" s="61">
        <v>0.027</v>
      </c>
      <c r="BE60" s="61">
        <v>0.027</v>
      </c>
      <c r="BF60" s="61">
        <v>0.027</v>
      </c>
      <c r="BG60" s="61">
        <v>0.027</v>
      </c>
      <c r="BH60" s="61">
        <v>0.027</v>
      </c>
      <c r="BI60" s="61">
        <v>0.027</v>
      </c>
      <c r="BJ60" s="61"/>
      <c r="BK60" s="61">
        <v>0.027</v>
      </c>
      <c r="BL60" s="61"/>
      <c r="BM60" s="61">
        <v>0.027</v>
      </c>
      <c r="BN60" s="61">
        <v>0.027</v>
      </c>
    </row>
    <row r="61" spans="1:66" ht="12.75">
      <c r="A61" s="41"/>
      <c r="B61" s="320"/>
      <c r="Q61" s="2"/>
      <c r="R61" s="2"/>
      <c r="BH61" s="2"/>
      <c r="BJ61" s="59"/>
      <c r="BK61" s="66"/>
      <c r="BL61" s="66"/>
      <c r="BM61" s="66"/>
      <c r="BN61" s="66"/>
    </row>
    <row r="62" spans="1:66" ht="12.75">
      <c r="A62" s="102" t="s">
        <v>439</v>
      </c>
      <c r="B62" s="314"/>
      <c r="C62" s="61">
        <f aca="true" t="shared" si="13" ref="C62:P62">+(1+C59)/(1+C60)-1</f>
        <v>0.10531292676297466</v>
      </c>
      <c r="D62" s="61">
        <f t="shared" si="13"/>
        <v>0.11058831894883259</v>
      </c>
      <c r="E62" s="61">
        <f t="shared" si="13"/>
        <v>0.03604406507300473</v>
      </c>
      <c r="F62" s="61">
        <f t="shared" si="13"/>
        <v>0.0075775174491798936</v>
      </c>
      <c r="G62" s="61">
        <f t="shared" si="13"/>
        <v>0.12035773674489181</v>
      </c>
      <c r="H62" s="61">
        <f t="shared" si="13"/>
        <v>0.1392201417773371</v>
      </c>
      <c r="I62" s="61">
        <f>+(1+I59)/(1+I60)-1</f>
        <v>0.15088934608813687</v>
      </c>
      <c r="J62" s="61">
        <f t="shared" si="13"/>
        <v>0.0718929919125999</v>
      </c>
      <c r="K62" s="61">
        <f t="shared" si="13"/>
        <v>0.07178112710101558</v>
      </c>
      <c r="L62" s="61">
        <f t="shared" si="13"/>
        <v>0.08819891311226535</v>
      </c>
      <c r="M62" s="61">
        <f t="shared" si="13"/>
        <v>0.09825163873828435</v>
      </c>
      <c r="N62" s="61">
        <f>+(1+N59)/(1+N60)-1</f>
        <v>0.13229358412658132</v>
      </c>
      <c r="O62" s="61">
        <f>+(1+O59)/(1+O60)-1</f>
        <v>0.16398724114510999</v>
      </c>
      <c r="P62" s="61">
        <f t="shared" si="13"/>
        <v>0.09793289846716169</v>
      </c>
      <c r="Q62" s="61">
        <f>+(1+Q59)/(1+Q60)-1</f>
        <v>0.09350426220735297</v>
      </c>
      <c r="R62" s="61">
        <f>+(1+R59)/(1+R60)-1</f>
        <v>0.09114763897180778</v>
      </c>
      <c r="S62" s="61">
        <f aca="true" t="shared" si="14" ref="S62:AF62">+(1+S59)/(1+S60)-1</f>
        <v>0.1235732073780953</v>
      </c>
      <c r="T62" s="61">
        <f t="shared" si="14"/>
        <v>0.11604800299132578</v>
      </c>
      <c r="U62" s="61">
        <f t="shared" si="14"/>
        <v>0.11196918515812371</v>
      </c>
      <c r="V62" s="61">
        <f>+(1+V59)/(1+V60)-1</f>
        <v>0.12946670283312067</v>
      </c>
      <c r="W62" s="61">
        <f t="shared" si="14"/>
        <v>0.1272032108770873</v>
      </c>
      <c r="X62" s="61">
        <f t="shared" si="14"/>
        <v>0.09991872148443859</v>
      </c>
      <c r="Y62" s="61">
        <f t="shared" si="14"/>
        <v>0.09695652060414717</v>
      </c>
      <c r="Z62" s="61">
        <f>+(1+Z59)/(1+Z60)-1</f>
        <v>0.10289188409048</v>
      </c>
      <c r="AA62" s="61">
        <f>+(1+AA59)/(1+AA60)-1</f>
        <v>0.11841779000069752</v>
      </c>
      <c r="AB62" s="61">
        <f>+(1+AB59)/(1+AB60)-1</f>
        <v>0.09210013233213399</v>
      </c>
      <c r="AC62" s="61">
        <f t="shared" si="14"/>
        <v>0.10517128520856911</v>
      </c>
      <c r="AD62" s="61">
        <f>+(1+AD59)/(1+AD60)-1</f>
        <v>0.10554072290241434</v>
      </c>
      <c r="AE62" s="61">
        <f t="shared" si="14"/>
        <v>0.10458913385805313</v>
      </c>
      <c r="AF62" s="61">
        <f t="shared" si="14"/>
        <v>0.10264583388808268</v>
      </c>
      <c r="AG62" s="61">
        <f>+(1+AG59)/(1+AG60)-1</f>
        <v>0.1422666663262786</v>
      </c>
      <c r="AH62" s="61">
        <f>+(1+AH59)/(1+AH60)-1</f>
        <v>0.09254771313144317</v>
      </c>
      <c r="AI62" s="61">
        <f>+(1+AI59)/(1+AI60)-1</f>
        <v>0.10170894126097374</v>
      </c>
      <c r="AJ62" s="61">
        <f aca="true" t="shared" si="15" ref="AJ62:AW62">+(1+AJ59)/(1+AJ60)-1</f>
        <v>0.1102423302850537</v>
      </c>
      <c r="AK62" s="61">
        <f t="shared" si="15"/>
        <v>0.11199165368979891</v>
      </c>
      <c r="AL62" s="61">
        <f>+(1+AL59)/(1+AL60)-1</f>
        <v>0.12217354560553528</v>
      </c>
      <c r="AM62" s="61">
        <f t="shared" si="15"/>
        <v>0.09265140587353193</v>
      </c>
      <c r="AN62" s="61">
        <f t="shared" si="15"/>
        <v>0.07362609374744955</v>
      </c>
      <c r="AO62" s="61">
        <f t="shared" si="15"/>
        <v>0.031021116175150576</v>
      </c>
      <c r="AP62" s="61">
        <f t="shared" si="15"/>
        <v>0.06741005675617573</v>
      </c>
      <c r="AQ62" s="61">
        <f>+(1+AQ59)/(1+AQ60)-1</f>
        <v>0.09024796698998894</v>
      </c>
      <c r="AR62" s="61">
        <f t="shared" si="15"/>
        <v>0.08625500547008214</v>
      </c>
      <c r="AS62" s="61">
        <f t="shared" si="15"/>
        <v>0.1056472935213364</v>
      </c>
      <c r="AT62" s="61">
        <f>+(1+AT59)/(1+AT60)-1</f>
        <v>0.12659442214324446</v>
      </c>
      <c r="AU62" s="61">
        <f>+(1+AU59)/(1+AU60)-1</f>
        <v>0.08305671283479188</v>
      </c>
      <c r="AV62" s="61">
        <f t="shared" si="15"/>
        <v>0.06536355789244142</v>
      </c>
      <c r="AW62" s="61">
        <f t="shared" si="15"/>
        <v>0.11828212518334213</v>
      </c>
      <c r="AX62" s="61">
        <f aca="true" t="shared" si="16" ref="AX62:BG62">+(1+AX59)/(1+AX60)-1</f>
        <v>0.08434727027283295</v>
      </c>
      <c r="AY62" s="61">
        <f t="shared" si="16"/>
        <v>0.13470068501687837</v>
      </c>
      <c r="AZ62" s="61">
        <f t="shared" si="16"/>
        <v>0.08911251689733457</v>
      </c>
      <c r="BA62" s="61">
        <f t="shared" si="16"/>
        <v>0.07013248818558782</v>
      </c>
      <c r="BB62" s="61">
        <f t="shared" si="16"/>
        <v>0.08396763971044807</v>
      </c>
      <c r="BC62" s="61">
        <f t="shared" si="16"/>
        <v>0.09131140386958725</v>
      </c>
      <c r="BD62" s="61">
        <f t="shared" si="16"/>
        <v>0.07568693889877798</v>
      </c>
      <c r="BE62" s="61">
        <f t="shared" si="16"/>
        <v>0.051632747650181</v>
      </c>
      <c r="BF62" s="61">
        <f t="shared" si="16"/>
        <v>0.04522818872163925</v>
      </c>
      <c r="BG62" s="61">
        <f t="shared" si="16"/>
        <v>0.010278420510414055</v>
      </c>
      <c r="BH62" s="61">
        <f>+(1+BH59)/(1+BH60)-1</f>
        <v>-0.03860466754193237</v>
      </c>
      <c r="BI62" s="61">
        <f>+(1+BI59)/(1+BI60)-1</f>
        <v>0.023034521915963335</v>
      </c>
      <c r="BJ62" s="61"/>
      <c r="BK62" s="61">
        <f>+(1+BK59)/(1+BK60)-1</f>
        <v>0.1110519790430875</v>
      </c>
      <c r="BL62" s="61"/>
      <c r="BM62" s="61">
        <f>+(1+BM59)/(1+BM60)-1</f>
        <v>0.10527409018324141</v>
      </c>
      <c r="BN62" s="61">
        <f>+(1+BN59)/(1+BN60)-1</f>
        <v>0.11235460282181431</v>
      </c>
    </row>
    <row r="63" spans="7:66" ht="12.75">
      <c r="G63" s="59"/>
      <c r="H63" s="59"/>
      <c r="M63" s="59"/>
      <c r="N63" s="59"/>
      <c r="P63" s="33"/>
      <c r="S63" s="33"/>
      <c r="T63" s="33"/>
      <c r="U63" s="59"/>
      <c r="V63" s="59"/>
      <c r="W63" s="59"/>
      <c r="X63" s="59"/>
      <c r="Y63" s="33"/>
      <c r="Z63" s="59"/>
      <c r="AC63" s="59"/>
      <c r="AD63" s="59"/>
      <c r="AE63" s="59"/>
      <c r="AF63" s="59"/>
      <c r="AH63" s="59"/>
      <c r="AJ63" s="59"/>
      <c r="AM63" s="59"/>
      <c r="AP63" s="59"/>
      <c r="AQ63" s="59"/>
      <c r="AR63" s="59"/>
      <c r="AS63" s="33"/>
      <c r="AT63" s="59"/>
      <c r="AU63" s="59"/>
      <c r="AV63" s="59"/>
      <c r="AW63" s="59"/>
      <c r="AY63" s="59"/>
      <c r="BA63" s="59"/>
      <c r="BF63" s="59"/>
      <c r="BH63" s="33"/>
      <c r="BI63" s="59"/>
      <c r="BJ63" s="59"/>
      <c r="BK63" s="30"/>
      <c r="BL63" s="30"/>
      <c r="BM63" s="30"/>
      <c r="BN63" s="30"/>
    </row>
    <row r="64" spans="1:66" ht="12.75">
      <c r="A64" s="37" t="s">
        <v>279</v>
      </c>
      <c r="B64" s="101"/>
      <c r="G64" s="59"/>
      <c r="H64" s="59"/>
      <c r="M64" s="59"/>
      <c r="N64" s="59"/>
      <c r="P64" s="33"/>
      <c r="S64" s="33"/>
      <c r="T64" s="33"/>
      <c r="U64" s="59"/>
      <c r="V64" s="59"/>
      <c r="W64" s="59"/>
      <c r="X64" s="59"/>
      <c r="Y64" s="33"/>
      <c r="Z64" s="59"/>
      <c r="AC64" s="59"/>
      <c r="AD64" s="59"/>
      <c r="AE64" s="59"/>
      <c r="AF64" s="59"/>
      <c r="AH64" s="59"/>
      <c r="AJ64" s="59"/>
      <c r="AM64" s="59"/>
      <c r="AP64" s="59"/>
      <c r="AQ64" s="59"/>
      <c r="AR64" s="59"/>
      <c r="AS64" s="33"/>
      <c r="AT64" s="59"/>
      <c r="AU64" s="59"/>
      <c r="AV64" s="59"/>
      <c r="AW64" s="59"/>
      <c r="AY64" s="59"/>
      <c r="BA64" s="59"/>
      <c r="BF64" s="59"/>
      <c r="BH64" s="33"/>
      <c r="BI64" s="59"/>
      <c r="BJ64" s="59"/>
      <c r="BK64" s="30"/>
      <c r="BL64" s="30"/>
      <c r="BM64" s="30"/>
      <c r="BN64" s="30"/>
    </row>
    <row r="65" spans="1:66" ht="12.75">
      <c r="A65" s="104" t="s">
        <v>365</v>
      </c>
      <c r="B65" s="318"/>
      <c r="C65" s="16">
        <f>+'4.1. Samtryggingard.'!B17</f>
        <v>10021038</v>
      </c>
      <c r="D65" s="16">
        <f>+'4.1. Samtryggingard.'!C17</f>
        <v>113915.4</v>
      </c>
      <c r="E65" s="16">
        <f>+'4.1. Samtryggingard.'!D17</f>
        <v>231807</v>
      </c>
      <c r="F65" s="16">
        <f>+'4.1. Samtryggingard.'!E17</f>
        <v>36882</v>
      </c>
      <c r="G65" s="16">
        <f>+'4.1. Samtryggingard.'!F17</f>
        <v>2336120</v>
      </c>
      <c r="H65" s="16">
        <f>+'4.1. Samtryggingard.'!G17</f>
        <v>2123748</v>
      </c>
      <c r="I65" s="16">
        <f>+'4.1. Samtryggingard.'!H17</f>
        <v>1280994</v>
      </c>
      <c r="J65" s="16">
        <f>+'4.1. Samtryggingard.'!I17</f>
        <v>1584687</v>
      </c>
      <c r="K65" s="16">
        <f>+'4.1. Samtryggingard.'!J17</f>
        <v>1439</v>
      </c>
      <c r="L65" s="16">
        <f>+'4.1. Samtryggingard.'!K17</f>
        <v>1054386</v>
      </c>
      <c r="M65" s="16">
        <f>+'4.1. Samtryggingard.'!L17</f>
        <v>307942</v>
      </c>
      <c r="N65" s="16">
        <f>+'4.1. Samtryggingard.'!M17</f>
        <v>19068</v>
      </c>
      <c r="O65" s="16">
        <f>+'4.1. Samtryggingard.'!N17</f>
        <v>7497</v>
      </c>
      <c r="P65" s="16">
        <f>+'4.1. Samtryggingard.'!O17</f>
        <v>273744</v>
      </c>
      <c r="Q65" s="16">
        <f>+'4.1. Samtryggingard.'!P17</f>
        <v>621026</v>
      </c>
      <c r="R65" s="16">
        <f>+'4.1. Samtryggingard.'!Q17</f>
        <v>23078</v>
      </c>
      <c r="S65" s="16">
        <f>+'4.1. Samtryggingard.'!R17</f>
        <v>810430</v>
      </c>
      <c r="T65" s="16">
        <f>+'4.1. Samtryggingard.'!S17</f>
        <v>5168</v>
      </c>
      <c r="U65" s="16">
        <f>+'4.1. Samtryggingard.'!T17</f>
        <v>440685</v>
      </c>
      <c r="V65" s="16">
        <f>+'4.1. Samtryggingard.'!U17</f>
        <v>329997</v>
      </c>
      <c r="W65" s="16">
        <f>+'4.1. Samtryggingard.'!V17</f>
        <v>359049</v>
      </c>
      <c r="X65" s="16">
        <f>+'4.1. Samtryggingard.'!W17</f>
        <v>8681</v>
      </c>
      <c r="Y65" s="16">
        <f>+'4.1. Samtryggingard.'!X17</f>
        <v>145111</v>
      </c>
      <c r="Z65" s="16">
        <f>+'4.1. Samtryggingard.'!Y17</f>
        <v>510402</v>
      </c>
      <c r="AA65" s="16">
        <f>+'4.1. Samtryggingard.'!Z17</f>
        <v>644365</v>
      </c>
      <c r="AB65" s="16">
        <f>+'4.1. Samtryggingard.'!AA17</f>
        <v>316017</v>
      </c>
      <c r="AC65" s="16">
        <f>+'4.1. Samtryggingard.'!AB17</f>
        <v>650939.998</v>
      </c>
      <c r="AD65" s="16">
        <f>+'4.1. Samtryggingard.'!AC17</f>
        <v>1271363</v>
      </c>
      <c r="AE65" s="16">
        <f>+'4.1. Samtryggingard.'!AD17</f>
        <v>308189</v>
      </c>
      <c r="AF65" s="16">
        <f>+'4.1. Samtryggingard.'!AE17</f>
        <v>284510</v>
      </c>
      <c r="AG65" s="30">
        <f>+'4.1. Samtryggingard.'!AF17</f>
        <v>5794.511</v>
      </c>
      <c r="AH65" s="16">
        <f>+'4.1. Samtryggingard.'!AG17</f>
        <v>31663</v>
      </c>
      <c r="AI65" s="16">
        <f>+'4.1. Samtryggingard.'!AH17</f>
        <v>1655</v>
      </c>
      <c r="AJ65" s="16">
        <f>+'4.1. Samtryggingard.'!AI17</f>
        <v>253912</v>
      </c>
      <c r="AK65" s="16">
        <f>+'4.1. Samtryggingard.'!AJ17</f>
        <v>192074</v>
      </c>
      <c r="AL65" s="16">
        <f>+'4.1. Samtryggingard.'!AK17</f>
        <v>1400.349</v>
      </c>
      <c r="AM65" s="16">
        <f>+'4.1. Samtryggingard.'!AL17</f>
        <v>85241</v>
      </c>
      <c r="AN65" s="16">
        <f>+'4.1. Samtryggingard.'!AM17</f>
        <v>121525</v>
      </c>
      <c r="AO65" s="16">
        <f>+'4.1. Samtryggingard.'!AN17</f>
        <v>28971</v>
      </c>
      <c r="AP65" s="16">
        <f>+'4.1. Samtryggingard.'!AO17</f>
        <v>67741</v>
      </c>
      <c r="AQ65" s="16">
        <f>+'4.1. Samtryggingard.'!AP17</f>
        <v>59231</v>
      </c>
      <c r="AR65" s="16">
        <f>+'4.1. Samtryggingard.'!AQ17</f>
        <v>96112</v>
      </c>
      <c r="AS65" s="16">
        <f>+'4.1. Samtryggingard.'!AR17</f>
        <v>88999</v>
      </c>
      <c r="AT65" s="16">
        <f>+'4.1. Samtryggingard.'!AS17</f>
        <v>288</v>
      </c>
      <c r="AU65" s="16">
        <f>+'4.1. Samtryggingard.'!AT17</f>
        <v>99113</v>
      </c>
      <c r="AV65" s="16">
        <f>+'4.1. Samtryggingard.'!AU17</f>
        <v>51745.651</v>
      </c>
      <c r="AW65" s="16">
        <f>+'4.1. Samtryggingard.'!AV17</f>
        <v>75175</v>
      </c>
      <c r="AX65" s="16">
        <f>+'4.1. Samtryggingard.'!AW17</f>
        <v>170772</v>
      </c>
      <c r="AY65" s="16">
        <f>+'4.1. Samtryggingard.'!AX17</f>
        <v>57072</v>
      </c>
      <c r="AZ65" s="16">
        <f>+'4.1. Samtryggingard.'!AY17</f>
        <v>37648</v>
      </c>
      <c r="BA65" s="16">
        <f>+'4.1. Samtryggingard.'!AZ17</f>
        <v>40237</v>
      </c>
      <c r="BB65" s="16">
        <f>+'4.1. Samtryggingard.'!BA17</f>
        <v>67086</v>
      </c>
      <c r="BC65" s="16">
        <f>+'4.1. Samtryggingard.'!BB17</f>
        <v>39687</v>
      </c>
      <c r="BD65" s="16">
        <f>+'4.1. Samtryggingard.'!BC17</f>
        <v>38358.02</v>
      </c>
      <c r="BE65" s="16">
        <f>+'4.1. Samtryggingard.'!BD17</f>
        <v>36454</v>
      </c>
      <c r="BF65" s="16">
        <f>+'4.1. Samtryggingard.'!BE17</f>
        <v>29035</v>
      </c>
      <c r="BG65" s="16">
        <f>+'4.1. Samtryggingard.'!BF17</f>
        <v>140115</v>
      </c>
      <c r="BH65" s="16">
        <f>+'4.1. Samtryggingard.'!BG17</f>
        <v>52655</v>
      </c>
      <c r="BI65" s="16"/>
      <c r="BJ65" s="16"/>
      <c r="BK65" s="16">
        <f>+'4.1. Samtryggingard.'!BJ17</f>
        <v>28092979.928999998</v>
      </c>
      <c r="BL65" s="16"/>
      <c r="BM65" s="16">
        <f>+'4.1. Samtryggingard.'!BL17</f>
        <v>13060968</v>
      </c>
      <c r="BN65" s="16">
        <f>+'4.1. Samtryggingard.'!BM17</f>
        <v>15032011.929</v>
      </c>
    </row>
    <row r="66" spans="1:66" ht="12.75">
      <c r="A66" s="104"/>
      <c r="B66" s="31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30"/>
      <c r="Q66" s="30"/>
      <c r="R66" s="30"/>
      <c r="S66" s="30"/>
      <c r="T66" s="30"/>
      <c r="U66" s="16"/>
      <c r="V66" s="16"/>
      <c r="W66" s="16"/>
      <c r="X66" s="16"/>
      <c r="Y66" s="30"/>
      <c r="Z66" s="16"/>
      <c r="AA66" s="16"/>
      <c r="AB66" s="16"/>
      <c r="AC66" s="16"/>
      <c r="AD66" s="16"/>
      <c r="AE66" s="16"/>
      <c r="AF66" s="16"/>
      <c r="AG66" s="30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30"/>
      <c r="AT66" s="16"/>
      <c r="AU66" s="16"/>
      <c r="AV66" s="16"/>
      <c r="AW66" s="16"/>
      <c r="AX66" s="30"/>
      <c r="AY66" s="16"/>
      <c r="AZ66" s="16"/>
      <c r="BA66" s="16"/>
      <c r="BB66" s="16"/>
      <c r="BC66" s="16"/>
      <c r="BD66" s="16"/>
      <c r="BE66" s="16"/>
      <c r="BF66" s="16"/>
      <c r="BG66" s="16"/>
      <c r="BH66" s="30"/>
      <c r="BI66" s="16"/>
      <c r="BK66" s="30"/>
      <c r="BL66" s="30"/>
      <c r="BM66" s="30"/>
      <c r="BN66" s="16"/>
    </row>
    <row r="67" spans="1:67" ht="12.75">
      <c r="A67" s="33" t="s">
        <v>366</v>
      </c>
      <c r="B67" s="101"/>
      <c r="C67" s="16">
        <f>+C65*(C21/100)</f>
        <v>7415568.12</v>
      </c>
      <c r="D67" s="16">
        <f aca="true" t="shared" si="17" ref="D67:BI67">+D65*(D21/100)</f>
        <v>15834.240600000001</v>
      </c>
      <c r="E67" s="16">
        <f t="shared" si="17"/>
        <v>137693.358</v>
      </c>
      <c r="F67" s="16">
        <f t="shared" si="17"/>
        <v>23272.542</v>
      </c>
      <c r="G67" s="16">
        <f t="shared" si="17"/>
        <v>1406344.24</v>
      </c>
      <c r="H67" s="16">
        <f t="shared" si="17"/>
        <v>1340084.988</v>
      </c>
      <c r="I67" s="16">
        <f t="shared" si="17"/>
        <v>550827.42</v>
      </c>
      <c r="J67" s="16">
        <f t="shared" si="17"/>
        <v>999937.497</v>
      </c>
      <c r="K67" s="16">
        <f t="shared" si="17"/>
        <v>43.17</v>
      </c>
      <c r="L67" s="16">
        <f t="shared" si="17"/>
        <v>580966.6860000001</v>
      </c>
      <c r="M67" s="16">
        <f t="shared" si="17"/>
        <v>162285.434</v>
      </c>
      <c r="N67" s="16">
        <f>+N65*(N21/100)</f>
        <v>8733.143999999998</v>
      </c>
      <c r="O67" s="16">
        <f t="shared" si="17"/>
        <v>89.964</v>
      </c>
      <c r="P67" s="16">
        <f t="shared" si="17"/>
        <v>138788.208</v>
      </c>
      <c r="Q67" s="16">
        <f>+Q65*(Q21/100)</f>
        <v>504273.112</v>
      </c>
      <c r="R67" s="16">
        <f>+R65*(R21/100)</f>
        <v>12046.716</v>
      </c>
      <c r="S67" s="16">
        <f t="shared" si="17"/>
        <v>558386.27</v>
      </c>
      <c r="T67" s="16">
        <f t="shared" si="17"/>
        <v>160.208</v>
      </c>
      <c r="U67" s="16">
        <f t="shared" si="17"/>
        <v>198308.25</v>
      </c>
      <c r="V67" s="16">
        <f t="shared" si="17"/>
        <v>257397.66</v>
      </c>
      <c r="W67" s="16">
        <f t="shared" si="17"/>
        <v>168393.981</v>
      </c>
      <c r="X67" s="16">
        <f t="shared" si="17"/>
        <v>5989.889999999999</v>
      </c>
      <c r="Y67" s="30">
        <f t="shared" si="17"/>
        <v>114637.69</v>
      </c>
      <c r="Z67" s="16">
        <f t="shared" si="17"/>
        <v>255711.402</v>
      </c>
      <c r="AA67" s="16">
        <f>+AA65*(AA21/100)</f>
        <v>568974.295</v>
      </c>
      <c r="AB67" s="16">
        <f>+AB65*(AB21/100)</f>
        <v>126722.81700000001</v>
      </c>
      <c r="AC67" s="16">
        <f t="shared" si="17"/>
        <v>469978.678556</v>
      </c>
      <c r="AD67" s="16">
        <f>+AD65*(AD21/100)</f>
        <v>865798.203</v>
      </c>
      <c r="AE67" s="16">
        <f t="shared" si="17"/>
        <v>177516.86400000003</v>
      </c>
      <c r="AF67" s="16">
        <f t="shared" si="17"/>
        <v>205700.72999999998</v>
      </c>
      <c r="AG67" s="30">
        <f>+AG65*(AG21/100)</f>
        <v>0</v>
      </c>
      <c r="AH67" s="16">
        <f>+AH65*(AH21/100)</f>
        <v>6744.219</v>
      </c>
      <c r="AI67" s="16">
        <f>+AI65*(AI21/100)</f>
        <v>225.08</v>
      </c>
      <c r="AJ67" s="16">
        <f t="shared" si="17"/>
        <v>203815.1624</v>
      </c>
      <c r="AK67" s="16">
        <f t="shared" si="17"/>
        <v>92329.9718</v>
      </c>
      <c r="AL67" s="16">
        <f t="shared" si="17"/>
        <v>0</v>
      </c>
      <c r="AM67" s="16">
        <f t="shared" si="17"/>
        <v>71346.717</v>
      </c>
      <c r="AN67" s="16">
        <f t="shared" si="17"/>
        <v>88202.845</v>
      </c>
      <c r="AO67" s="16">
        <f t="shared" si="17"/>
        <v>21728.25</v>
      </c>
      <c r="AP67" s="16">
        <f t="shared" si="17"/>
        <v>35564.025</v>
      </c>
      <c r="AQ67" s="16">
        <f>+AQ65*(AQ21/100)</f>
        <v>30977.813000000002</v>
      </c>
      <c r="AR67" s="16">
        <f t="shared" si="17"/>
        <v>76312.928</v>
      </c>
      <c r="AS67" s="16">
        <f t="shared" si="17"/>
        <v>63990.28100000001</v>
      </c>
      <c r="AT67" s="16">
        <f>+AT65*(AT21/100)</f>
        <v>288</v>
      </c>
      <c r="AU67" s="16">
        <f>+AU65*(AU21/100)</f>
        <v>77010.801</v>
      </c>
      <c r="AV67" s="16">
        <f t="shared" si="17"/>
        <v>40371.9569102</v>
      </c>
      <c r="AW67" s="16">
        <f t="shared" si="17"/>
        <v>53374.25</v>
      </c>
      <c r="AX67" s="16">
        <f t="shared" si="17"/>
        <v>120906.57599999999</v>
      </c>
      <c r="AY67" s="16">
        <f t="shared" si="17"/>
        <v>39174.2208</v>
      </c>
      <c r="AZ67" s="16">
        <f t="shared" si="17"/>
        <v>28537.184</v>
      </c>
      <c r="BA67" s="16">
        <f t="shared" si="17"/>
        <v>33758.843</v>
      </c>
      <c r="BB67" s="16">
        <f t="shared" si="17"/>
        <v>48771.522</v>
      </c>
      <c r="BC67" s="16">
        <f>+BC65*(BC21/100)</f>
        <v>31154.295000000002</v>
      </c>
      <c r="BD67" s="16">
        <f>+BD65*(BD21/100)</f>
        <v>29152.095199999996</v>
      </c>
      <c r="BE67" s="16">
        <f>+BE65*(BE21/100)</f>
        <v>25627.162</v>
      </c>
      <c r="BF67" s="16">
        <f>+BF65*(BF21/100)</f>
        <v>14807.85</v>
      </c>
      <c r="BG67" s="16">
        <f t="shared" si="17"/>
        <v>98080.5</v>
      </c>
      <c r="BH67" s="16">
        <f t="shared" si="17"/>
        <v>30645.210000000003</v>
      </c>
      <c r="BI67" s="16">
        <f t="shared" si="17"/>
        <v>0</v>
      </c>
      <c r="BJ67" s="16"/>
      <c r="BK67" s="30">
        <f aca="true" t="shared" si="18" ref="BK67:BK72">SUM(C67:BI67)</f>
        <v>18633363.536266204</v>
      </c>
      <c r="BL67" s="30"/>
      <c r="BM67" s="30">
        <f aca="true" t="shared" si="19" ref="BM67:BM72">+C67+E67+F67+AA67+AD67+AM67+AO67+AS67+AU67+AX67+AY67+BB67+BE67+BF67+BG67+BH67</f>
        <v>9623395.607800001</v>
      </c>
      <c r="BN67" s="30">
        <f aca="true" t="shared" si="20" ref="BN67:BN72">+D67+G67+H67+I67+J67+K67+L67+M67+N67+O67+P67+Q67+R67+S67+T67+U67+V67+W67+X67+Y67+Z67+AB67+AC67+AE67+AF67+AG67+AH67+AI67+AJ67+AK67+AL67+AN67+AP67+AQ67+AR67+AT67+AV67+AW67+AZ67+BA67+BC67+BD67+BI67</f>
        <v>9009967.928466199</v>
      </c>
      <c r="BO67" s="76"/>
    </row>
    <row r="68" spans="1:82" ht="12.75">
      <c r="A68" s="33" t="s">
        <v>367</v>
      </c>
      <c r="B68" s="101"/>
      <c r="C68" s="16">
        <f>+C65*(C22/100)</f>
        <v>420883.596</v>
      </c>
      <c r="D68" s="16">
        <f aca="true" t="shared" si="21" ref="D68:BI68">+D65*(D22/100)</f>
        <v>89195.75819999998</v>
      </c>
      <c r="E68" s="16">
        <f t="shared" si="21"/>
        <v>927.2280000000001</v>
      </c>
      <c r="F68" s="16">
        <f t="shared" si="21"/>
        <v>0</v>
      </c>
      <c r="G68" s="16">
        <f t="shared" si="21"/>
        <v>612063.4400000001</v>
      </c>
      <c r="H68" s="16">
        <f t="shared" si="21"/>
        <v>613763.1719999999</v>
      </c>
      <c r="I68" s="16">
        <f t="shared" si="21"/>
        <v>550827.42</v>
      </c>
      <c r="J68" s="16">
        <f t="shared" si="21"/>
        <v>289997.721</v>
      </c>
      <c r="K68" s="16">
        <f t="shared" si="21"/>
        <v>1043.2749999999999</v>
      </c>
      <c r="L68" s="16">
        <f t="shared" si="21"/>
        <v>345838.60799999995</v>
      </c>
      <c r="M68" s="16">
        <f t="shared" si="21"/>
        <v>108703.526</v>
      </c>
      <c r="N68" s="16">
        <f>+N65*(N22/100)</f>
        <v>1086.876</v>
      </c>
      <c r="O68" s="16">
        <f t="shared" si="21"/>
        <v>3426.129</v>
      </c>
      <c r="P68" s="16">
        <f t="shared" si="21"/>
        <v>90609.26400000001</v>
      </c>
      <c r="Q68" s="16">
        <f>+Q65*(Q22/100)</f>
        <v>43471.82000000001</v>
      </c>
      <c r="R68" s="16">
        <f>+R65*(R22/100)</f>
        <v>7731.13</v>
      </c>
      <c r="S68" s="16">
        <f t="shared" si="21"/>
        <v>124806.22</v>
      </c>
      <c r="T68" s="16">
        <f t="shared" si="21"/>
        <v>4392.8</v>
      </c>
      <c r="U68" s="16">
        <f t="shared" si="21"/>
        <v>191697.975</v>
      </c>
      <c r="V68" s="16">
        <f t="shared" si="21"/>
        <v>27059.753999999997</v>
      </c>
      <c r="W68" s="16">
        <f t="shared" si="21"/>
        <v>129616.689</v>
      </c>
      <c r="X68" s="16">
        <f t="shared" si="21"/>
        <v>1059.0819999999999</v>
      </c>
      <c r="Y68" s="30">
        <f t="shared" si="21"/>
        <v>10157.77</v>
      </c>
      <c r="Z68" s="16">
        <f t="shared" si="21"/>
        <v>192421.554</v>
      </c>
      <c r="AA68" s="16">
        <f>+AA65*(AA22/100)</f>
        <v>59281.58</v>
      </c>
      <c r="AB68" s="16">
        <f>+AB65*(AB22/100)</f>
        <v>141575.61599999998</v>
      </c>
      <c r="AC68" s="16">
        <f t="shared" si="21"/>
        <v>112612.61965400001</v>
      </c>
      <c r="AD68" s="16">
        <f>+AD65*(AD22/100)</f>
        <v>82638.595</v>
      </c>
      <c r="AE68" s="16">
        <f t="shared" si="21"/>
        <v>97079.535</v>
      </c>
      <c r="AF68" s="16">
        <f t="shared" si="21"/>
        <v>50073.76</v>
      </c>
      <c r="AG68" s="30">
        <f>+AG65*(AG22/100)</f>
        <v>4878.9782620000005</v>
      </c>
      <c r="AH68" s="16">
        <f>+AH65*(AH22/100)</f>
        <v>18807.822</v>
      </c>
      <c r="AI68" s="16">
        <f>+AI65*(AI22/100)</f>
        <v>754.6800000000001</v>
      </c>
      <c r="AJ68" s="16">
        <f t="shared" si="21"/>
        <v>9394.744</v>
      </c>
      <c r="AK68" s="16">
        <f t="shared" si="21"/>
        <v>74601.54160000001</v>
      </c>
      <c r="AL68" s="16">
        <f t="shared" si="21"/>
        <v>1391.6668361999998</v>
      </c>
      <c r="AM68" s="16">
        <f t="shared" si="21"/>
        <v>85.241</v>
      </c>
      <c r="AN68" s="16">
        <f t="shared" si="21"/>
        <v>9867.83</v>
      </c>
      <c r="AO68" s="16">
        <f t="shared" si="21"/>
        <v>0</v>
      </c>
      <c r="AP68" s="16">
        <f t="shared" si="21"/>
        <v>21744.861</v>
      </c>
      <c r="AQ68" s="16">
        <f>+AQ65*(AQ22/100)</f>
        <v>23100.09</v>
      </c>
      <c r="AR68" s="16">
        <f t="shared" si="21"/>
        <v>865.0080000000002</v>
      </c>
      <c r="AS68" s="16">
        <f t="shared" si="21"/>
        <v>19846.777000000002</v>
      </c>
      <c r="AT68" s="16">
        <f>+AT65*(AT22/100)</f>
        <v>0</v>
      </c>
      <c r="AU68" s="16">
        <f>+AU65*(AU22/100)</f>
        <v>4955.650000000001</v>
      </c>
      <c r="AV68" s="16">
        <f t="shared" si="21"/>
        <v>8315.5261157</v>
      </c>
      <c r="AW68" s="16">
        <f t="shared" si="21"/>
        <v>9021</v>
      </c>
      <c r="AX68" s="16">
        <f t="shared" si="21"/>
        <v>12978.672</v>
      </c>
      <c r="AY68" s="16">
        <f t="shared" si="21"/>
        <v>8241.1968</v>
      </c>
      <c r="AZ68" s="16">
        <f t="shared" si="21"/>
        <v>75.296</v>
      </c>
      <c r="BA68" s="16">
        <f t="shared" si="21"/>
        <v>3701.804</v>
      </c>
      <c r="BB68" s="16">
        <f t="shared" si="21"/>
        <v>4092.246</v>
      </c>
      <c r="BC68" s="16">
        <f>+BC65*(BC22/100)</f>
        <v>7421.469</v>
      </c>
      <c r="BD68" s="16">
        <f>+BD65*(BD22/100)</f>
        <v>383.5802</v>
      </c>
      <c r="BE68" s="16">
        <f>+BE65*(BE22/100)</f>
        <v>5468.099999999999</v>
      </c>
      <c r="BF68" s="16">
        <f>+BF65*(BF22/100)</f>
        <v>2322.8</v>
      </c>
      <c r="BG68" s="16">
        <f t="shared" si="21"/>
        <v>3502.875</v>
      </c>
      <c r="BH68" s="16">
        <f t="shared" si="21"/>
        <v>5107.535</v>
      </c>
      <c r="BI68" s="16">
        <f t="shared" si="21"/>
        <v>0</v>
      </c>
      <c r="BJ68" s="16"/>
      <c r="BK68" s="30">
        <f t="shared" si="18"/>
        <v>4664969.502667898</v>
      </c>
      <c r="BL68" s="30"/>
      <c r="BM68" s="30">
        <f t="shared" si="19"/>
        <v>630332.0918000003</v>
      </c>
      <c r="BN68" s="30">
        <f t="shared" si="20"/>
        <v>4034637.4108678997</v>
      </c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</row>
    <row r="69" spans="1:82" ht="12.75">
      <c r="A69" s="33" t="s">
        <v>368</v>
      </c>
      <c r="B69" s="101"/>
      <c r="C69" s="16">
        <f>+C65*(C23/100)</f>
        <v>2174565.246</v>
      </c>
      <c r="D69" s="16">
        <f aca="true" t="shared" si="22" ref="D69:BI69">+D65*(D23/100)</f>
        <v>6265.347</v>
      </c>
      <c r="E69" s="16">
        <f t="shared" si="22"/>
        <v>92954.607</v>
      </c>
      <c r="F69" s="16">
        <f t="shared" si="22"/>
        <v>13609.458</v>
      </c>
      <c r="G69" s="16">
        <f t="shared" si="22"/>
        <v>256973.2</v>
      </c>
      <c r="H69" s="16">
        <f t="shared" si="22"/>
        <v>129548.628</v>
      </c>
      <c r="I69" s="16">
        <f t="shared" si="22"/>
        <v>140909.34</v>
      </c>
      <c r="J69" s="16">
        <f t="shared" si="22"/>
        <v>245626.485</v>
      </c>
      <c r="K69" s="16">
        <f t="shared" si="22"/>
        <v>0</v>
      </c>
      <c r="L69" s="16">
        <f t="shared" si="22"/>
        <v>97003.512</v>
      </c>
      <c r="M69" s="16">
        <f t="shared" si="22"/>
        <v>27714.78</v>
      </c>
      <c r="N69" s="16">
        <f>+N65*(N23/100)</f>
        <v>8695.008</v>
      </c>
      <c r="O69" s="16">
        <f t="shared" si="22"/>
        <v>1177.029</v>
      </c>
      <c r="P69" s="16">
        <f t="shared" si="22"/>
        <v>38871.647999999994</v>
      </c>
      <c r="Q69" s="16">
        <f>+Q65*(Q23/100)</f>
        <v>72660.042</v>
      </c>
      <c r="R69" s="16">
        <f>+R65*(R23/100)</f>
        <v>2538.58</v>
      </c>
      <c r="S69" s="16">
        <f t="shared" si="22"/>
        <v>121564.5</v>
      </c>
      <c r="T69" s="16">
        <f t="shared" si="22"/>
        <v>134.36800000000002</v>
      </c>
      <c r="U69" s="16">
        <f t="shared" si="22"/>
        <v>39661.65</v>
      </c>
      <c r="V69" s="16">
        <f t="shared" si="22"/>
        <v>43559.604</v>
      </c>
      <c r="W69" s="16">
        <f t="shared" si="22"/>
        <v>47035.419</v>
      </c>
      <c r="X69" s="16">
        <f t="shared" si="22"/>
        <v>1632.028</v>
      </c>
      <c r="Y69" s="30">
        <f t="shared" si="22"/>
        <v>18864.43</v>
      </c>
      <c r="Z69" s="16">
        <f t="shared" si="22"/>
        <v>46956.984</v>
      </c>
      <c r="AA69" s="16">
        <f>+AA65*(AA23/100)</f>
        <v>14820.395</v>
      </c>
      <c r="AB69" s="16">
        <f>+AB65*(AB23/100)</f>
        <v>37922.04</v>
      </c>
      <c r="AC69" s="16">
        <f t="shared" si="22"/>
        <v>55980.839828</v>
      </c>
      <c r="AD69" s="16">
        <f>+AD65*(AD23/100)</f>
        <v>317840.75</v>
      </c>
      <c r="AE69" s="16">
        <f t="shared" si="22"/>
        <v>26196.065000000002</v>
      </c>
      <c r="AF69" s="16">
        <f t="shared" si="22"/>
        <v>24752.37</v>
      </c>
      <c r="AG69" s="30">
        <f>+AG65*(AG23/100)</f>
        <v>915.5327380000001</v>
      </c>
      <c r="AH69" s="16">
        <f>+AH65*(AH23/100)</f>
        <v>1741.465</v>
      </c>
      <c r="AI69" s="16">
        <f>+AI65*(AI23/100)</f>
        <v>1.655</v>
      </c>
      <c r="AJ69" s="16">
        <f t="shared" si="22"/>
        <v>40041.9224</v>
      </c>
      <c r="AK69" s="16">
        <f t="shared" si="22"/>
        <v>11025.0476</v>
      </c>
      <c r="AL69" s="16">
        <f t="shared" si="22"/>
        <v>0</v>
      </c>
      <c r="AM69" s="16">
        <f t="shared" si="22"/>
        <v>13809.042000000001</v>
      </c>
      <c r="AN69" s="16">
        <f t="shared" si="22"/>
        <v>23186.969999999998</v>
      </c>
      <c r="AO69" s="16">
        <f t="shared" si="22"/>
        <v>7242.75</v>
      </c>
      <c r="AP69" s="16">
        <f t="shared" si="22"/>
        <v>8264.402</v>
      </c>
      <c r="AQ69" s="16">
        <f>+AQ65*(AQ23/100)</f>
        <v>4383.094000000001</v>
      </c>
      <c r="AR69" s="16">
        <f t="shared" si="22"/>
        <v>18934.064</v>
      </c>
      <c r="AS69" s="16">
        <f t="shared" si="22"/>
        <v>5072.943</v>
      </c>
      <c r="AT69" s="16">
        <f>+AT65*(AT23/100)</f>
        <v>0</v>
      </c>
      <c r="AU69" s="16">
        <f>+AU65*(AU23/100)</f>
        <v>16452.758</v>
      </c>
      <c r="AV69" s="16">
        <f t="shared" si="22"/>
        <v>2794.265154</v>
      </c>
      <c r="AW69" s="16">
        <f t="shared" si="22"/>
        <v>12779.750000000002</v>
      </c>
      <c r="AX69" s="16">
        <f t="shared" si="22"/>
        <v>35862.119999999995</v>
      </c>
      <c r="AY69" s="16">
        <f t="shared" si="22"/>
        <v>9473.952000000001</v>
      </c>
      <c r="AZ69" s="16">
        <f t="shared" si="22"/>
        <v>8621.392</v>
      </c>
      <c r="BA69" s="16">
        <f t="shared" si="22"/>
        <v>2655.6420000000003</v>
      </c>
      <c r="BB69" s="16">
        <f t="shared" si="22"/>
        <v>14088.06</v>
      </c>
      <c r="BC69" s="16">
        <f>+BC65*(BC23/100)</f>
        <v>1111.2359999999999</v>
      </c>
      <c r="BD69" s="16">
        <f>+BD65*(BD23/100)</f>
        <v>8822.3446</v>
      </c>
      <c r="BE69" s="16">
        <f>+BE65*(BE23/100)</f>
        <v>4811.928</v>
      </c>
      <c r="BF69" s="16">
        <f>+BF65*(BF23/100)</f>
        <v>11904.349999999999</v>
      </c>
      <c r="BG69" s="16">
        <f t="shared" si="22"/>
        <v>38111.280000000006</v>
      </c>
      <c r="BH69" s="16">
        <f t="shared" si="22"/>
        <v>16270.395</v>
      </c>
      <c r="BI69" s="16">
        <f t="shared" si="22"/>
        <v>0</v>
      </c>
      <c r="BJ69" s="16"/>
      <c r="BK69" s="30">
        <f t="shared" si="18"/>
        <v>4424412.713319999</v>
      </c>
      <c r="BL69" s="30"/>
      <c r="BM69" s="30">
        <f t="shared" si="19"/>
        <v>2786890.0339999995</v>
      </c>
      <c r="BN69" s="30">
        <f t="shared" si="20"/>
        <v>1637522.6793199996</v>
      </c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</row>
    <row r="70" spans="1:82" ht="12.75">
      <c r="A70" s="33" t="s">
        <v>369</v>
      </c>
      <c r="B70" s="101"/>
      <c r="C70" s="16">
        <f>+C65*(C24/100)</f>
        <v>10021.038</v>
      </c>
      <c r="D70" s="16">
        <f aca="true" t="shared" si="23" ref="D70:BI70">+D65*(D24/100)</f>
        <v>2620.0542</v>
      </c>
      <c r="E70" s="16">
        <f t="shared" si="23"/>
        <v>231.80700000000002</v>
      </c>
      <c r="F70" s="16">
        <f t="shared" si="23"/>
        <v>0</v>
      </c>
      <c r="G70" s="16">
        <f t="shared" si="23"/>
        <v>60739.12</v>
      </c>
      <c r="H70" s="16">
        <f t="shared" si="23"/>
        <v>40351.212</v>
      </c>
      <c r="I70" s="16">
        <f t="shared" si="23"/>
        <v>38429.82</v>
      </c>
      <c r="J70" s="16">
        <f t="shared" si="23"/>
        <v>34863.114</v>
      </c>
      <c r="K70" s="16">
        <f t="shared" si="23"/>
        <v>352.555</v>
      </c>
      <c r="L70" s="16">
        <f t="shared" si="23"/>
        <v>30577.194</v>
      </c>
      <c r="M70" s="16">
        <f t="shared" si="23"/>
        <v>9238.26</v>
      </c>
      <c r="N70" s="16">
        <f>+N65*(N24/100)</f>
        <v>552.972</v>
      </c>
      <c r="O70" s="16">
        <f t="shared" si="23"/>
        <v>419.83199999999994</v>
      </c>
      <c r="P70" s="16">
        <f t="shared" si="23"/>
        <v>5474.88</v>
      </c>
      <c r="Q70" s="16">
        <f>+Q65*(Q24/100)</f>
        <v>621.0260000000001</v>
      </c>
      <c r="R70" s="16">
        <f>+R65*(R24/100)</f>
        <v>761.5740000000001</v>
      </c>
      <c r="S70" s="16">
        <f t="shared" si="23"/>
        <v>5673.009999999999</v>
      </c>
      <c r="T70" s="16">
        <f t="shared" si="23"/>
        <v>480.6240000000001</v>
      </c>
      <c r="U70" s="16">
        <f t="shared" si="23"/>
        <v>11017.125</v>
      </c>
      <c r="V70" s="16">
        <f t="shared" si="23"/>
        <v>1979.982</v>
      </c>
      <c r="W70" s="16">
        <f t="shared" si="23"/>
        <v>14002.911</v>
      </c>
      <c r="X70" s="16">
        <f t="shared" si="23"/>
        <v>0</v>
      </c>
      <c r="Y70" s="30">
        <f t="shared" si="23"/>
        <v>1451.1100000000001</v>
      </c>
      <c r="Z70" s="16">
        <f t="shared" si="23"/>
        <v>15312.06</v>
      </c>
      <c r="AA70" s="16">
        <f>+AA65*(AA24/100)</f>
        <v>1288.73</v>
      </c>
      <c r="AB70" s="16">
        <f>+AB65*(AB24/100)</f>
        <v>9796.527</v>
      </c>
      <c r="AC70" s="16">
        <f t="shared" si="23"/>
        <v>12367.859962</v>
      </c>
      <c r="AD70" s="16">
        <f>+AD65*(AD24/100)</f>
        <v>5085.452</v>
      </c>
      <c r="AE70" s="16">
        <f t="shared" si="23"/>
        <v>7396.536</v>
      </c>
      <c r="AF70" s="16">
        <f t="shared" si="23"/>
        <v>3983.1399999999994</v>
      </c>
      <c r="AG70" s="30">
        <f>+AG65*(AG24/100)</f>
        <v>0</v>
      </c>
      <c r="AH70" s="16">
        <f>+AH65*(AH24/100)</f>
        <v>4337.830999999999</v>
      </c>
      <c r="AI70" s="16">
        <f>+AI65*(AI24/100)</f>
        <v>675.24</v>
      </c>
      <c r="AJ70" s="16">
        <f t="shared" si="23"/>
        <v>660.1712</v>
      </c>
      <c r="AK70" s="16">
        <f t="shared" si="23"/>
        <v>14117.438999999998</v>
      </c>
      <c r="AL70" s="16">
        <f t="shared" si="23"/>
        <v>8.6821638</v>
      </c>
      <c r="AM70" s="16">
        <f t="shared" si="23"/>
        <v>0</v>
      </c>
      <c r="AN70" s="16">
        <f t="shared" si="23"/>
        <v>267.355</v>
      </c>
      <c r="AO70" s="16">
        <f t="shared" si="23"/>
        <v>0</v>
      </c>
      <c r="AP70" s="16">
        <f t="shared" si="23"/>
        <v>2167.712</v>
      </c>
      <c r="AQ70" s="16">
        <f>+AQ65*(AQ24/100)</f>
        <v>770.003</v>
      </c>
      <c r="AR70" s="16">
        <f t="shared" si="23"/>
        <v>0</v>
      </c>
      <c r="AS70" s="16">
        <f t="shared" si="23"/>
        <v>88.999</v>
      </c>
      <c r="AT70" s="16">
        <f>+AT65*(AT24/100)</f>
        <v>0</v>
      </c>
      <c r="AU70" s="16">
        <f>+AU65*(AU24/100)</f>
        <v>693.7909999999999</v>
      </c>
      <c r="AV70" s="16">
        <f t="shared" si="23"/>
        <v>263.9028201</v>
      </c>
      <c r="AW70" s="16">
        <f t="shared" si="23"/>
        <v>0</v>
      </c>
      <c r="AX70" s="16">
        <f t="shared" si="23"/>
        <v>1024.632</v>
      </c>
      <c r="AY70" s="16">
        <f t="shared" si="23"/>
        <v>171.216</v>
      </c>
      <c r="AZ70" s="16">
        <f t="shared" si="23"/>
        <v>414.12800000000004</v>
      </c>
      <c r="BA70" s="16">
        <f t="shared" si="23"/>
        <v>120.711</v>
      </c>
      <c r="BB70" s="16">
        <f t="shared" si="23"/>
        <v>134.172</v>
      </c>
      <c r="BC70" s="16">
        <f>+BC65*(BC24/100)</f>
        <v>0</v>
      </c>
      <c r="BD70" s="16">
        <f>+BD65*(BD24/100)</f>
        <v>0</v>
      </c>
      <c r="BE70" s="16">
        <f>+BE65*(BE24/100)</f>
        <v>546.81</v>
      </c>
      <c r="BF70" s="16">
        <f>+BF65*(BF24/100)</f>
        <v>0</v>
      </c>
      <c r="BG70" s="16">
        <f t="shared" si="23"/>
        <v>420.345</v>
      </c>
      <c r="BH70" s="16">
        <f t="shared" si="23"/>
        <v>631.86</v>
      </c>
      <c r="BI70" s="16">
        <f t="shared" si="23"/>
        <v>0</v>
      </c>
      <c r="BJ70" s="16"/>
      <c r="BK70" s="30">
        <f t="shared" si="18"/>
        <v>352604.5253459001</v>
      </c>
      <c r="BL70" s="30"/>
      <c r="BM70" s="30">
        <f t="shared" si="19"/>
        <v>20338.852000000006</v>
      </c>
      <c r="BN70" s="30">
        <f t="shared" si="20"/>
        <v>332265.6733459001</v>
      </c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</row>
    <row r="71" spans="1:82" ht="12.75">
      <c r="A71" s="33" t="s">
        <v>370</v>
      </c>
      <c r="B71" s="101"/>
      <c r="C71" s="16">
        <f>+C65*(C25/100)</f>
        <v>0</v>
      </c>
      <c r="D71" s="16">
        <f aca="true" t="shared" si="24" ref="D71:BI71">+D65*(D25/100)</f>
        <v>0</v>
      </c>
      <c r="E71" s="16">
        <f t="shared" si="24"/>
        <v>0</v>
      </c>
      <c r="F71" s="16">
        <f t="shared" si="24"/>
        <v>0</v>
      </c>
      <c r="G71" s="16">
        <f t="shared" si="24"/>
        <v>0</v>
      </c>
      <c r="H71" s="16">
        <f t="shared" si="24"/>
        <v>0</v>
      </c>
      <c r="I71" s="16">
        <f t="shared" si="24"/>
        <v>0</v>
      </c>
      <c r="J71" s="16">
        <f t="shared" si="24"/>
        <v>14262.183</v>
      </c>
      <c r="K71" s="16">
        <f t="shared" si="24"/>
        <v>0</v>
      </c>
      <c r="L71" s="16">
        <f t="shared" si="24"/>
        <v>0</v>
      </c>
      <c r="M71" s="16">
        <f t="shared" si="24"/>
        <v>0</v>
      </c>
      <c r="N71" s="16">
        <f>+N65*(N25/100)</f>
        <v>0</v>
      </c>
      <c r="O71" s="16">
        <f t="shared" si="24"/>
        <v>2384.046</v>
      </c>
      <c r="P71" s="16">
        <f t="shared" si="24"/>
        <v>0</v>
      </c>
      <c r="Q71" s="16">
        <f>+Q65*(Q25/100)</f>
        <v>0</v>
      </c>
      <c r="R71" s="16">
        <f>+R65*(R25/100)</f>
        <v>0</v>
      </c>
      <c r="S71" s="16">
        <f t="shared" si="24"/>
        <v>0</v>
      </c>
      <c r="T71" s="16">
        <f t="shared" si="24"/>
        <v>0</v>
      </c>
      <c r="U71" s="16">
        <f t="shared" si="24"/>
        <v>0</v>
      </c>
      <c r="V71" s="16">
        <f t="shared" si="24"/>
        <v>0</v>
      </c>
      <c r="W71" s="16">
        <f t="shared" si="24"/>
        <v>0</v>
      </c>
      <c r="X71" s="16">
        <f t="shared" si="24"/>
        <v>0</v>
      </c>
      <c r="Y71" s="30">
        <f t="shared" si="24"/>
        <v>0</v>
      </c>
      <c r="Z71" s="16">
        <f t="shared" si="24"/>
        <v>0</v>
      </c>
      <c r="AA71" s="16">
        <f>+AA65*(AA25/100)</f>
        <v>0</v>
      </c>
      <c r="AB71" s="16">
        <f>+AB65*(AB25/100)</f>
        <v>0</v>
      </c>
      <c r="AC71" s="16">
        <f t="shared" si="24"/>
        <v>0</v>
      </c>
      <c r="AD71" s="16">
        <f>+AD65*(AD25/100)</f>
        <v>0</v>
      </c>
      <c r="AE71" s="16">
        <f t="shared" si="24"/>
        <v>0</v>
      </c>
      <c r="AF71" s="16">
        <f t="shared" si="24"/>
        <v>0</v>
      </c>
      <c r="AG71" s="30">
        <f>+AG65*(AG25/100)</f>
        <v>0</v>
      </c>
      <c r="AH71" s="16">
        <f>+AH65*(AH25/100)</f>
        <v>0</v>
      </c>
      <c r="AI71" s="16">
        <f>+AI65*(AI25/100)</f>
        <v>0</v>
      </c>
      <c r="AJ71" s="16">
        <f t="shared" si="24"/>
        <v>0</v>
      </c>
      <c r="AK71" s="16">
        <f t="shared" si="24"/>
        <v>0</v>
      </c>
      <c r="AL71" s="16">
        <f t="shared" si="24"/>
        <v>0</v>
      </c>
      <c r="AM71" s="16">
        <f t="shared" si="24"/>
        <v>0</v>
      </c>
      <c r="AN71" s="16">
        <f t="shared" si="24"/>
        <v>0</v>
      </c>
      <c r="AO71" s="16">
        <f t="shared" si="24"/>
        <v>0</v>
      </c>
      <c r="AP71" s="16">
        <f t="shared" si="24"/>
        <v>0</v>
      </c>
      <c r="AQ71" s="16">
        <f>+AQ65*(AQ25/100)</f>
        <v>0</v>
      </c>
      <c r="AR71" s="16">
        <f t="shared" si="24"/>
        <v>0</v>
      </c>
      <c r="AS71" s="16">
        <f t="shared" si="24"/>
        <v>0</v>
      </c>
      <c r="AT71" s="16">
        <f>+AT65*(AT25/100)</f>
        <v>0</v>
      </c>
      <c r="AU71" s="16">
        <f>+AU65*(AU25/100)</f>
        <v>0</v>
      </c>
      <c r="AV71" s="16">
        <f t="shared" si="24"/>
        <v>0</v>
      </c>
      <c r="AW71" s="16">
        <f t="shared" si="24"/>
        <v>0</v>
      </c>
      <c r="AX71" s="16">
        <f t="shared" si="24"/>
        <v>0</v>
      </c>
      <c r="AY71" s="16">
        <f t="shared" si="24"/>
        <v>0</v>
      </c>
      <c r="AZ71" s="16">
        <f t="shared" si="24"/>
        <v>0</v>
      </c>
      <c r="BA71" s="16">
        <f t="shared" si="24"/>
        <v>0</v>
      </c>
      <c r="BB71" s="16">
        <f t="shared" si="24"/>
        <v>0</v>
      </c>
      <c r="BC71" s="16">
        <f>+BC65*(BC25/100)</f>
        <v>0</v>
      </c>
      <c r="BD71" s="16">
        <f>+BD65*(BD25/100)</f>
        <v>0</v>
      </c>
      <c r="BE71" s="16">
        <f>+BE65*(BE25/100)</f>
        <v>0</v>
      </c>
      <c r="BF71" s="16">
        <f>+BF65*(BF25/100)</f>
        <v>0</v>
      </c>
      <c r="BG71" s="16">
        <f t="shared" si="24"/>
        <v>0</v>
      </c>
      <c r="BH71" s="16">
        <f t="shared" si="24"/>
        <v>0</v>
      </c>
      <c r="BI71" s="16">
        <f t="shared" si="24"/>
        <v>0</v>
      </c>
      <c r="BJ71" s="16"/>
      <c r="BK71" s="30">
        <f t="shared" si="18"/>
        <v>16646.229</v>
      </c>
      <c r="BL71" s="30"/>
      <c r="BM71" s="30">
        <f t="shared" si="19"/>
        <v>0</v>
      </c>
      <c r="BN71" s="30">
        <f t="shared" si="20"/>
        <v>16646.229</v>
      </c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</row>
    <row r="72" spans="1:82" ht="12.75">
      <c r="A72" s="104" t="s">
        <v>371</v>
      </c>
      <c r="B72" s="318"/>
      <c r="C72" s="31">
        <f aca="true" t="shared" si="25" ref="C72:AJ72">SUM(C67:C71)</f>
        <v>10021038</v>
      </c>
      <c r="D72" s="31">
        <f t="shared" si="25"/>
        <v>113915.39999999998</v>
      </c>
      <c r="E72" s="31">
        <f t="shared" si="25"/>
        <v>231807.00000000003</v>
      </c>
      <c r="F72" s="31">
        <f t="shared" si="25"/>
        <v>36882</v>
      </c>
      <c r="G72" s="31">
        <f t="shared" si="25"/>
        <v>2336120.0000000005</v>
      </c>
      <c r="H72" s="31">
        <f t="shared" si="25"/>
        <v>2123747.9999999995</v>
      </c>
      <c r="I72" s="31">
        <f t="shared" si="25"/>
        <v>1280994.0000000002</v>
      </c>
      <c r="J72" s="31">
        <f t="shared" si="25"/>
        <v>1584686.9999999998</v>
      </c>
      <c r="K72" s="31">
        <f t="shared" si="25"/>
        <v>1439</v>
      </c>
      <c r="L72" s="31">
        <f t="shared" si="25"/>
        <v>1054386</v>
      </c>
      <c r="M72" s="31">
        <f t="shared" si="25"/>
        <v>307942</v>
      </c>
      <c r="N72" s="31">
        <f>SUM(N67:N71)</f>
        <v>19068</v>
      </c>
      <c r="O72" s="31">
        <f t="shared" si="25"/>
        <v>7497</v>
      </c>
      <c r="P72" s="31">
        <f t="shared" si="25"/>
        <v>273744</v>
      </c>
      <c r="Q72" s="31">
        <f>SUM(Q67:Q71)</f>
        <v>621026</v>
      </c>
      <c r="R72" s="31">
        <f>SUM(R67:R71)</f>
        <v>23078</v>
      </c>
      <c r="S72" s="31">
        <f t="shared" si="25"/>
        <v>810430</v>
      </c>
      <c r="T72" s="31">
        <f t="shared" si="25"/>
        <v>5168</v>
      </c>
      <c r="U72" s="31">
        <f t="shared" si="25"/>
        <v>440685</v>
      </c>
      <c r="V72" s="31">
        <f t="shared" si="25"/>
        <v>329997</v>
      </c>
      <c r="W72" s="31">
        <f t="shared" si="25"/>
        <v>359049</v>
      </c>
      <c r="X72" s="31">
        <f t="shared" si="25"/>
        <v>8681</v>
      </c>
      <c r="Y72" s="31">
        <f t="shared" si="25"/>
        <v>145111</v>
      </c>
      <c r="Z72" s="31">
        <f t="shared" si="25"/>
        <v>510402</v>
      </c>
      <c r="AA72" s="31">
        <f>SUM(AA67:AA71)</f>
        <v>644365</v>
      </c>
      <c r="AB72" s="31">
        <f>SUM(AB67:AB71)</f>
        <v>316016.99999999994</v>
      </c>
      <c r="AC72" s="31">
        <f t="shared" si="25"/>
        <v>650939.9980000001</v>
      </c>
      <c r="AD72" s="31">
        <f>SUM(AD67:AD71)</f>
        <v>1271363</v>
      </c>
      <c r="AE72" s="31">
        <f t="shared" si="25"/>
        <v>308189.00000000006</v>
      </c>
      <c r="AF72" s="31">
        <f t="shared" si="25"/>
        <v>284510</v>
      </c>
      <c r="AG72" s="31">
        <f>SUM(AG67:AG71)</f>
        <v>5794.511</v>
      </c>
      <c r="AH72" s="31">
        <f>SUM(AH67:AH71)</f>
        <v>31631.337</v>
      </c>
      <c r="AI72" s="31">
        <f>SUM(AI67:AI71)</f>
        <v>1656.6550000000002</v>
      </c>
      <c r="AJ72" s="31">
        <f t="shared" si="25"/>
        <v>253912.00000000003</v>
      </c>
      <c r="AK72" s="31">
        <f aca="true" t="shared" si="26" ref="AK72:BI72">SUM(AK67:AK71)</f>
        <v>192074</v>
      </c>
      <c r="AL72" s="31">
        <f t="shared" si="26"/>
        <v>1400.3489999999997</v>
      </c>
      <c r="AM72" s="31">
        <f t="shared" si="26"/>
        <v>85241</v>
      </c>
      <c r="AN72" s="31">
        <f t="shared" si="26"/>
        <v>121525</v>
      </c>
      <c r="AO72" s="31">
        <f t="shared" si="26"/>
        <v>28971</v>
      </c>
      <c r="AP72" s="31">
        <f t="shared" si="26"/>
        <v>67741</v>
      </c>
      <c r="AQ72" s="31">
        <f>SUM(AQ67:AQ71)</f>
        <v>59231</v>
      </c>
      <c r="AR72" s="31">
        <f t="shared" si="26"/>
        <v>96112</v>
      </c>
      <c r="AS72" s="31">
        <f t="shared" si="26"/>
        <v>88999.00000000001</v>
      </c>
      <c r="AT72" s="31">
        <f>SUM(AT67:AT71)</f>
        <v>288</v>
      </c>
      <c r="AU72" s="31">
        <f>SUM(AU67:AU71)</f>
        <v>99113</v>
      </c>
      <c r="AV72" s="31">
        <f t="shared" si="26"/>
        <v>51745.651</v>
      </c>
      <c r="AW72" s="31">
        <f t="shared" si="26"/>
        <v>75175</v>
      </c>
      <c r="AX72" s="31">
        <f t="shared" si="26"/>
        <v>170772</v>
      </c>
      <c r="AY72" s="31">
        <f t="shared" si="26"/>
        <v>57060.585600000006</v>
      </c>
      <c r="AZ72" s="31">
        <f t="shared" si="26"/>
        <v>37648</v>
      </c>
      <c r="BA72" s="31">
        <f t="shared" si="26"/>
        <v>40237</v>
      </c>
      <c r="BB72" s="31">
        <f t="shared" si="26"/>
        <v>67086</v>
      </c>
      <c r="BC72" s="31">
        <f t="shared" si="26"/>
        <v>39687</v>
      </c>
      <c r="BD72" s="31">
        <f t="shared" si="26"/>
        <v>38358.02</v>
      </c>
      <c r="BE72" s="31">
        <f t="shared" si="26"/>
        <v>36454</v>
      </c>
      <c r="BF72" s="31">
        <f t="shared" si="26"/>
        <v>29035</v>
      </c>
      <c r="BG72" s="31">
        <f t="shared" si="26"/>
        <v>140115</v>
      </c>
      <c r="BH72" s="31">
        <f t="shared" si="26"/>
        <v>52655</v>
      </c>
      <c r="BI72" s="31">
        <f t="shared" si="26"/>
        <v>0</v>
      </c>
      <c r="BJ72" s="31"/>
      <c r="BK72" s="30">
        <f t="shared" si="18"/>
        <v>28091996.5066</v>
      </c>
      <c r="BL72" s="30"/>
      <c r="BM72" s="30">
        <f t="shared" si="19"/>
        <v>13060956.5856</v>
      </c>
      <c r="BN72" s="30">
        <f t="shared" si="20"/>
        <v>15031039.920999998</v>
      </c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</row>
    <row r="73" spans="1:82" ht="12.75">
      <c r="A73" s="33"/>
      <c r="B73" s="10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16"/>
      <c r="BL73" s="31"/>
      <c r="BM73" s="31"/>
      <c r="BN73" s="31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</row>
    <row r="74" spans="1:66" s="79" customFormat="1" ht="12.75">
      <c r="A74" s="33"/>
      <c r="B74" s="10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</row>
    <row r="75" spans="1:2" ht="12.75">
      <c r="A75" s="37" t="s">
        <v>390</v>
      </c>
      <c r="B75" s="101"/>
    </row>
    <row r="76" spans="1:66" ht="12.75">
      <c r="A76" s="30" t="str">
        <f>+'3.2 Efnah.'!A23</f>
        <v>      Aðrar fjárfestingar    </v>
      </c>
      <c r="B76" s="101"/>
      <c r="C76" s="16">
        <f>+'4.1. Samtryggingard.'!B86</f>
        <v>107994816</v>
      </c>
      <c r="D76" s="16">
        <f>+'4.1. Samtryggingard.'!C86</f>
        <v>34743086</v>
      </c>
      <c r="E76" s="16">
        <f>+'4.1. Samtryggingard.'!D86</f>
        <v>75164</v>
      </c>
      <c r="F76" s="16">
        <f>+'4.1. Samtryggingard.'!E86</f>
        <v>0</v>
      </c>
      <c r="G76" s="16">
        <f>+'4.1. Samtryggingard.'!F86</f>
        <v>117322208</v>
      </c>
      <c r="H76" s="16">
        <f>+'4.1. Samtryggingard.'!G86</f>
        <v>61808022</v>
      </c>
      <c r="I76" s="16">
        <f>+'4.1. Samtryggingard.'!H86</f>
        <v>55294879</v>
      </c>
      <c r="J76" s="16">
        <f>+'4.1. Samtryggingard.'!I86</f>
        <v>50299022</v>
      </c>
      <c r="K76" s="16">
        <f>+'4.1. Samtryggingard.'!J86</f>
        <v>0</v>
      </c>
      <c r="L76" s="16">
        <f>+'4.1. Samtryggingard.'!K86</f>
        <v>30908803</v>
      </c>
      <c r="M76" s="16">
        <f>+'4.1. Samtryggingard.'!L86</f>
        <v>27418190</v>
      </c>
      <c r="N76" s="16">
        <f>+'4.1. Samtryggingard.'!M86</f>
        <v>4763587</v>
      </c>
      <c r="O76" s="16">
        <f>+'4.1. Samtryggingard.'!N86</f>
        <v>3000397</v>
      </c>
      <c r="P76" s="16">
        <f>+'4.1. Samtryggingard.'!O86</f>
        <v>22069437</v>
      </c>
      <c r="Q76" s="16">
        <f>+'4.1. Samtryggingard.'!P86</f>
        <v>17718991</v>
      </c>
      <c r="R76" s="16">
        <f>+'4.1. Samtryggingard.'!Q86</f>
        <v>4409345</v>
      </c>
      <c r="S76" s="16">
        <f>+'4.1. Samtryggingard.'!R86</f>
        <v>17381625</v>
      </c>
      <c r="T76" s="16">
        <f>+'4.1. Samtryggingard.'!S86</f>
        <v>1499043</v>
      </c>
      <c r="U76" s="16">
        <f>+'4.1. Samtryggingard.'!T86</f>
        <v>15119037</v>
      </c>
      <c r="V76" s="16">
        <f>+'4.1. Samtryggingard.'!U86</f>
        <v>15542831</v>
      </c>
      <c r="W76" s="16">
        <f>+'4.1. Samtryggingard.'!V86</f>
        <v>14375271</v>
      </c>
      <c r="X76" s="16">
        <f>+'4.1. Samtryggingard.'!W86</f>
        <v>204495</v>
      </c>
      <c r="Y76" s="16">
        <f>+'4.1. Samtryggingard.'!X86</f>
        <v>14134171</v>
      </c>
      <c r="Z76" s="16">
        <f>+'4.1. Samtryggingard.'!Y86</f>
        <v>13303347</v>
      </c>
      <c r="AA76" s="16">
        <f>+'4.1. Samtryggingard.'!Z86</f>
        <v>12818067</v>
      </c>
      <c r="AB76" s="16">
        <f>+'4.1. Samtryggingard.'!AA86</f>
        <v>12635852</v>
      </c>
      <c r="AC76" s="16">
        <f>+'4.1. Samtryggingard.'!AB86</f>
        <v>12604033.123000002</v>
      </c>
      <c r="AD76" s="16">
        <f>+'4.1. Samtryggingard.'!AC86</f>
        <v>3537798</v>
      </c>
      <c r="AE76" s="16">
        <f>+'4.1. Samtryggingard.'!AD86</f>
        <v>9393279</v>
      </c>
      <c r="AF76" s="16">
        <f>+'4.1. Samtryggingard.'!AE86</f>
        <v>8915336</v>
      </c>
      <c r="AG76" s="16">
        <f>+'4.1. Samtryggingard.'!AF86</f>
        <v>723907.61</v>
      </c>
      <c r="AH76" s="16">
        <f>+'4.1. Samtryggingard.'!AG86</f>
        <v>6540281</v>
      </c>
      <c r="AI76" s="16">
        <f>+'4.1. Samtryggingard.'!AH86</f>
        <v>529910</v>
      </c>
      <c r="AJ76" s="16">
        <f>+'4.1. Samtryggingard.'!AI86</f>
        <v>7315661</v>
      </c>
      <c r="AK76" s="16">
        <f>+'4.1. Samtryggingard.'!AJ86</f>
        <v>6207116</v>
      </c>
      <c r="AL76" s="16">
        <f>+'4.1. Samtryggingard.'!AK86</f>
        <v>463482.867</v>
      </c>
      <c r="AM76" s="16">
        <f>+'4.1. Samtryggingard.'!AL86</f>
        <v>3239811</v>
      </c>
      <c r="AN76" s="16">
        <f>+'4.1. Samtryggingard.'!AM86</f>
        <v>2537341</v>
      </c>
      <c r="AO76" s="16">
        <f>+'4.1. Samtryggingard.'!AN86</f>
        <v>190154</v>
      </c>
      <c r="AP76" s="16">
        <f>+'4.1. Samtryggingard.'!AO86</f>
        <v>1452795</v>
      </c>
      <c r="AQ76" s="16">
        <f>+'4.1. Samtryggingard.'!AP86</f>
        <v>2240299</v>
      </c>
      <c r="AR76" s="16">
        <f>+'4.1. Samtryggingard.'!AQ86</f>
        <v>2244589</v>
      </c>
      <c r="AS76" s="16">
        <f>+'4.1. Samtryggingard.'!AR86</f>
        <v>1574571</v>
      </c>
      <c r="AT76" s="16">
        <f>+'4.1. Samtryggingard.'!AS86</f>
        <v>108749</v>
      </c>
      <c r="AU76" s="16">
        <f>+'4.1. Samtryggingard.'!AT86</f>
        <v>1415577</v>
      </c>
      <c r="AV76" s="16">
        <f>+'4.1. Samtryggingard.'!AU86</f>
        <v>1413484.762</v>
      </c>
      <c r="AW76" s="16">
        <f>+'4.1. Samtryggingard.'!AV86</f>
        <v>1358748</v>
      </c>
      <c r="AX76" s="16">
        <f>+'4.1. Samtryggingard.'!AW86</f>
        <v>1158785</v>
      </c>
      <c r="AY76" s="16">
        <f>+'4.1. Samtryggingard.'!AX86</f>
        <v>874348</v>
      </c>
      <c r="AZ76" s="16">
        <f>+'4.1. Samtryggingard.'!AY86</f>
        <v>663818</v>
      </c>
      <c r="BA76" s="16">
        <f>+'4.1. Samtryggingard.'!AZ86</f>
        <v>596327</v>
      </c>
      <c r="BB76" s="16">
        <f>+'4.1. Samtryggingard.'!BA86</f>
        <v>481266</v>
      </c>
      <c r="BC76" s="16">
        <f>+'4.1. Samtryggingard.'!BB86</f>
        <v>491240</v>
      </c>
      <c r="BD76" s="16">
        <f>+'4.1. Samtryggingard.'!BC86</f>
        <v>410997.25899999996</v>
      </c>
      <c r="BE76" s="16">
        <f>+'4.1. Samtryggingard.'!BD86</f>
        <v>358613</v>
      </c>
      <c r="BF76" s="16">
        <f>+'4.1. Samtryggingard.'!BE86</f>
        <v>192447</v>
      </c>
      <c r="BG76" s="16">
        <f>+'4.1. Samtryggingard.'!BF86</f>
        <v>54827</v>
      </c>
      <c r="BH76" s="16">
        <f>+'4.1. Samtryggingard.'!BG86</f>
        <v>16556</v>
      </c>
      <c r="BI76" s="16">
        <f>+'4.1. Samtryggingard.'!BH86</f>
        <v>8005</v>
      </c>
      <c r="BJ76" s="16"/>
      <c r="BK76" s="16">
        <f>+'4.1. Samtryggingard.'!BJ86</f>
        <v>734153838.6209999</v>
      </c>
      <c r="BL76" s="16"/>
      <c r="BM76" s="16">
        <f>+'4.1. Samtryggingard.'!BL86</f>
        <v>133982800</v>
      </c>
      <c r="BN76" s="16">
        <f>+'4.1. Samtryggingard.'!BM86</f>
        <v>600171038.6209999</v>
      </c>
    </row>
    <row r="77" spans="1:168" ht="12.75">
      <c r="A77" s="30"/>
      <c r="B77" s="10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</row>
    <row r="78" spans="1:168" ht="12.75">
      <c r="A78" s="30" t="str">
        <f aca="true" t="shared" si="27" ref="A78:A84">+A9</f>
        <v>Skráð verðbréf með br. tekjum (%)</v>
      </c>
      <c r="B78" s="101"/>
      <c r="C78" s="16">
        <f aca="true" t="shared" si="28" ref="C78:AH78">+C76*C9/100</f>
        <v>30994512.191999998</v>
      </c>
      <c r="D78" s="16">
        <f t="shared" si="28"/>
        <v>12993914.163999999</v>
      </c>
      <c r="E78" s="16">
        <f t="shared" si="28"/>
        <v>0</v>
      </c>
      <c r="F78" s="16">
        <f t="shared" si="28"/>
        <v>0</v>
      </c>
      <c r="G78" s="16">
        <f t="shared" si="28"/>
        <v>43057250.336</v>
      </c>
      <c r="H78" s="16">
        <f t="shared" si="28"/>
        <v>22275611.1288</v>
      </c>
      <c r="I78" s="16">
        <f t="shared" si="28"/>
        <v>18855553.739</v>
      </c>
      <c r="J78" s="16">
        <f t="shared" si="28"/>
        <v>13480137.896000002</v>
      </c>
      <c r="K78" s="16">
        <f t="shared" si="28"/>
        <v>0</v>
      </c>
      <c r="L78" s="16">
        <f t="shared" si="28"/>
        <v>10818081.05</v>
      </c>
      <c r="M78" s="16">
        <f t="shared" si="28"/>
        <v>7169856.685</v>
      </c>
      <c r="N78" s="16">
        <f t="shared" si="28"/>
        <v>4115739.168</v>
      </c>
      <c r="O78" s="16">
        <f t="shared" si="28"/>
        <v>1488196.9120000002</v>
      </c>
      <c r="P78" s="16">
        <f t="shared" si="28"/>
        <v>5340803.754</v>
      </c>
      <c r="Q78" s="16">
        <f t="shared" si="28"/>
        <v>10152981.843</v>
      </c>
      <c r="R78" s="16">
        <f t="shared" si="28"/>
        <v>2164988.395</v>
      </c>
      <c r="S78" s="16">
        <f t="shared" si="28"/>
        <v>4380169.5</v>
      </c>
      <c r="T78" s="16">
        <f t="shared" si="28"/>
        <v>377758.836</v>
      </c>
      <c r="U78" s="16">
        <f t="shared" si="28"/>
        <v>9267969.681</v>
      </c>
      <c r="V78" s="16">
        <f t="shared" si="28"/>
        <v>10802267.545</v>
      </c>
      <c r="W78" s="16">
        <f t="shared" si="28"/>
        <v>6267618.156</v>
      </c>
      <c r="X78" s="16">
        <f t="shared" si="28"/>
        <v>85683.405</v>
      </c>
      <c r="Y78" s="16">
        <f t="shared" si="28"/>
        <v>4161099.9424</v>
      </c>
      <c r="Z78" s="16">
        <f t="shared" si="28"/>
        <v>8567355.468</v>
      </c>
      <c r="AA78" s="16">
        <f t="shared" si="28"/>
        <v>4627322.187000001</v>
      </c>
      <c r="AB78" s="16">
        <f t="shared" si="28"/>
        <v>5075821.7484</v>
      </c>
      <c r="AC78" s="16">
        <f t="shared" si="28"/>
        <v>8469910.258656</v>
      </c>
      <c r="AD78" s="16">
        <f t="shared" si="28"/>
        <v>580198.872</v>
      </c>
      <c r="AE78" s="16">
        <f t="shared" si="28"/>
        <v>2281627.4691</v>
      </c>
      <c r="AF78" s="16">
        <f t="shared" si="28"/>
        <v>5706706.5736</v>
      </c>
      <c r="AG78" s="16">
        <f t="shared" si="28"/>
        <v>723907.61</v>
      </c>
      <c r="AH78" s="16">
        <f t="shared" si="28"/>
        <v>2915657.2697999994</v>
      </c>
      <c r="AI78" s="16">
        <f aca="true" t="shared" si="29" ref="AI78:BI78">+AI76*AI9/100</f>
        <v>236233.878</v>
      </c>
      <c r="AJ78" s="16">
        <f t="shared" si="29"/>
        <v>1210741.8955</v>
      </c>
      <c r="AK78" s="16">
        <f t="shared" si="29"/>
        <v>3641714.9572</v>
      </c>
      <c r="AL78" s="16">
        <f t="shared" si="29"/>
        <v>462092.418399</v>
      </c>
      <c r="AM78" s="16">
        <f t="shared" si="29"/>
        <v>2909350.278</v>
      </c>
      <c r="AN78" s="16">
        <f t="shared" si="29"/>
        <v>773889.005</v>
      </c>
      <c r="AO78" s="16">
        <f t="shared" si="29"/>
        <v>15535.5818</v>
      </c>
      <c r="AP78" s="16">
        <f t="shared" si="29"/>
        <v>338501.235</v>
      </c>
      <c r="AQ78" s="16">
        <f t="shared" si="29"/>
        <v>1014855.4469999999</v>
      </c>
      <c r="AR78" s="16">
        <f t="shared" si="29"/>
        <v>1493998.4384</v>
      </c>
      <c r="AS78" s="16">
        <f t="shared" si="29"/>
        <v>980957.733</v>
      </c>
      <c r="AT78" s="16">
        <f t="shared" si="29"/>
        <v>108749</v>
      </c>
      <c r="AU78" s="16">
        <f t="shared" si="29"/>
        <v>257635.014</v>
      </c>
      <c r="AV78" s="16">
        <f t="shared" si="29"/>
        <v>16820.4686678</v>
      </c>
      <c r="AW78" s="16">
        <f t="shared" si="29"/>
        <v>1184148.882</v>
      </c>
      <c r="AX78" s="16">
        <f t="shared" si="29"/>
        <v>469307.925</v>
      </c>
      <c r="AY78" s="16">
        <f t="shared" si="29"/>
        <v>590796.9435999999</v>
      </c>
      <c r="AZ78" s="16">
        <f t="shared" si="29"/>
        <v>430817.88200000004</v>
      </c>
      <c r="BA78" s="16">
        <f t="shared" si="29"/>
        <v>3577.962</v>
      </c>
      <c r="BB78" s="16">
        <f t="shared" si="29"/>
        <v>246408.19200000004</v>
      </c>
      <c r="BC78" s="16">
        <f t="shared" si="29"/>
        <v>439659.8</v>
      </c>
      <c r="BD78" s="16">
        <f t="shared" si="29"/>
        <v>0</v>
      </c>
      <c r="BE78" s="16">
        <f t="shared" si="29"/>
        <v>126949.002</v>
      </c>
      <c r="BF78" s="16">
        <f t="shared" si="29"/>
        <v>67741.344</v>
      </c>
      <c r="BG78" s="16">
        <f t="shared" si="29"/>
        <v>0</v>
      </c>
      <c r="BH78" s="16">
        <f t="shared" si="29"/>
        <v>0</v>
      </c>
      <c r="BI78" s="16">
        <f t="shared" si="29"/>
        <v>0</v>
      </c>
      <c r="BJ78" s="16"/>
      <c r="BK78" s="30">
        <f>SUM(C78:BI78)</f>
        <v>274219185.06732285</v>
      </c>
      <c r="BL78" s="30"/>
      <c r="BM78" s="30">
        <f aca="true" t="shared" si="30" ref="BM78:BM84">+C78+E78+F78+AA78+AD78+AM78+AO78+AS78+AU78+AX78+AY78+BB78+BE78+BF78+BG78+BH78</f>
        <v>41866715.26439999</v>
      </c>
      <c r="BN78" s="30">
        <f aca="true" t="shared" si="31" ref="BN78:BN84">+D78+G78+H78+I78+J78+K78+L78+M78+N78+O78+P78+Q78+R78+S78+T78+U78+V78+W78+X78+Y78+Z78+AB78+AC78+AE78+AF78+AG78+AH78+AI78+AJ78+AK78+AL78+AN78+AP78+AQ78+AR78+AT78+AV78+AW78+AZ78+BA78+BC78+BD78+BI78</f>
        <v>232352469.80292282</v>
      </c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</row>
    <row r="79" spans="1:168" ht="12.75">
      <c r="A79" s="30" t="str">
        <f t="shared" si="27"/>
        <v>Skráð verðbréf með föst. tekjum (%)</v>
      </c>
      <c r="B79" s="101"/>
      <c r="C79" s="16">
        <f aca="true" t="shared" si="32" ref="C79:AH79">+C10*C76/100</f>
        <v>53673423.55200001</v>
      </c>
      <c r="D79" s="16">
        <f t="shared" si="32"/>
        <v>12090593.928</v>
      </c>
      <c r="E79" s="16">
        <f t="shared" si="32"/>
        <v>0</v>
      </c>
      <c r="F79" s="16">
        <f t="shared" si="32"/>
        <v>0</v>
      </c>
      <c r="G79" s="16">
        <f t="shared" si="32"/>
        <v>42001350.463999994</v>
      </c>
      <c r="H79" s="16">
        <f t="shared" si="32"/>
        <v>26256047.7456</v>
      </c>
      <c r="I79" s="16">
        <f t="shared" si="32"/>
        <v>28587452.443000004</v>
      </c>
      <c r="J79" s="16">
        <f t="shared" si="32"/>
        <v>22634559.9</v>
      </c>
      <c r="K79" s="16">
        <f t="shared" si="32"/>
        <v>0</v>
      </c>
      <c r="L79" s="16">
        <f t="shared" si="32"/>
        <v>15454401.5</v>
      </c>
      <c r="M79" s="16">
        <f t="shared" si="32"/>
        <v>18479860.060000002</v>
      </c>
      <c r="N79" s="16">
        <f t="shared" si="32"/>
        <v>233415.763</v>
      </c>
      <c r="O79" s="16">
        <f t="shared" si="32"/>
        <v>1215160.785</v>
      </c>
      <c r="P79" s="16">
        <f t="shared" si="32"/>
        <v>8585010.992999999</v>
      </c>
      <c r="Q79" s="16">
        <f t="shared" si="32"/>
        <v>4163962.885</v>
      </c>
      <c r="R79" s="16">
        <f t="shared" si="32"/>
        <v>1067061.49</v>
      </c>
      <c r="S79" s="16">
        <f t="shared" si="32"/>
        <v>8082455.625</v>
      </c>
      <c r="T79" s="16">
        <f t="shared" si="32"/>
        <v>697054.995</v>
      </c>
      <c r="U79" s="16">
        <f t="shared" si="32"/>
        <v>2630712.4379999996</v>
      </c>
      <c r="V79" s="16">
        <f t="shared" si="32"/>
        <v>1507654.6069999998</v>
      </c>
      <c r="W79" s="16">
        <f t="shared" si="32"/>
        <v>6468871.95</v>
      </c>
      <c r="X79" s="16">
        <f t="shared" si="32"/>
        <v>111449.775</v>
      </c>
      <c r="Y79" s="16">
        <f t="shared" si="32"/>
        <v>4104563.2583999997</v>
      </c>
      <c r="Z79" s="16">
        <f t="shared" si="32"/>
        <v>1596401.64</v>
      </c>
      <c r="AA79" s="16">
        <f t="shared" si="32"/>
        <v>5691221.748</v>
      </c>
      <c r="AB79" s="16">
        <f t="shared" si="32"/>
        <v>5831445.698</v>
      </c>
      <c r="AC79" s="16">
        <f t="shared" si="32"/>
        <v>1663732.372236</v>
      </c>
      <c r="AD79" s="16">
        <f t="shared" si="32"/>
        <v>566047.68</v>
      </c>
      <c r="AE79" s="16">
        <f t="shared" si="32"/>
        <v>6000426.6252</v>
      </c>
      <c r="AF79" s="16">
        <f t="shared" si="32"/>
        <v>1613675.8160000003</v>
      </c>
      <c r="AG79" s="16">
        <f t="shared" si="32"/>
        <v>0</v>
      </c>
      <c r="AH79" s="16">
        <f t="shared" si="32"/>
        <v>1855477.7197</v>
      </c>
      <c r="AI79" s="16">
        <f aca="true" t="shared" si="33" ref="AI79:BI79">+AI10*AI76/100</f>
        <v>150335.467</v>
      </c>
      <c r="AJ79" s="16">
        <f t="shared" si="33"/>
        <v>3940946.5807</v>
      </c>
      <c r="AK79" s="16">
        <f t="shared" si="33"/>
        <v>1397221.8116</v>
      </c>
      <c r="AL79" s="16">
        <f t="shared" si="33"/>
        <v>0</v>
      </c>
      <c r="AM79" s="16">
        <f t="shared" si="33"/>
        <v>129592.44</v>
      </c>
      <c r="AN79" s="16">
        <f t="shared" si="33"/>
        <v>1496269.9877000002</v>
      </c>
      <c r="AO79" s="16">
        <f t="shared" si="33"/>
        <v>98442.7258</v>
      </c>
      <c r="AP79" s="16">
        <f t="shared" si="33"/>
        <v>143826.705</v>
      </c>
      <c r="AQ79" s="16">
        <f t="shared" si="33"/>
        <v>380626.8001</v>
      </c>
      <c r="AR79" s="16">
        <f t="shared" si="33"/>
        <v>665071.7207</v>
      </c>
      <c r="AS79" s="16">
        <f t="shared" si="33"/>
        <v>75579.408</v>
      </c>
      <c r="AT79" s="16">
        <f t="shared" si="33"/>
        <v>0</v>
      </c>
      <c r="AU79" s="16">
        <f t="shared" si="33"/>
        <v>696463.8840000001</v>
      </c>
      <c r="AV79" s="16">
        <f t="shared" si="33"/>
        <v>696706.6391898</v>
      </c>
      <c r="AW79" s="16">
        <f t="shared" si="33"/>
        <v>135059.5512</v>
      </c>
      <c r="AX79" s="16">
        <f t="shared" si="33"/>
        <v>509865.4</v>
      </c>
      <c r="AY79" s="16">
        <f t="shared" si="33"/>
        <v>97052.62799999998</v>
      </c>
      <c r="AZ79" s="16">
        <f t="shared" si="33"/>
        <v>167945.95400000003</v>
      </c>
      <c r="BA79" s="16">
        <f t="shared" si="33"/>
        <v>109724.16799999999</v>
      </c>
      <c r="BB79" s="16">
        <f t="shared" si="33"/>
        <v>88071.67800000001</v>
      </c>
      <c r="BC79" s="16">
        <f t="shared" si="33"/>
        <v>48632.76</v>
      </c>
      <c r="BD79" s="16">
        <f t="shared" si="33"/>
        <v>377706.481021</v>
      </c>
      <c r="BE79" s="16">
        <f t="shared" si="33"/>
        <v>128383.45399999998</v>
      </c>
      <c r="BF79" s="16">
        <f t="shared" si="33"/>
        <v>77363.694</v>
      </c>
      <c r="BG79" s="16">
        <f t="shared" si="33"/>
        <v>0</v>
      </c>
      <c r="BH79" s="16">
        <f t="shared" si="33"/>
        <v>0</v>
      </c>
      <c r="BI79" s="16">
        <f t="shared" si="33"/>
        <v>0</v>
      </c>
      <c r="BJ79" s="16"/>
      <c r="BK79" s="30">
        <f aca="true" t="shared" si="34" ref="BK79:BK84">SUM(C79:BI79)</f>
        <v>294474383.3941466</v>
      </c>
      <c r="BL79" s="30"/>
      <c r="BM79" s="30">
        <f t="shared" si="30"/>
        <v>61831508.291800015</v>
      </c>
      <c r="BN79" s="30">
        <f t="shared" si="31"/>
        <v>232642875.10234684</v>
      </c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</row>
    <row r="80" spans="1:168" ht="12.75">
      <c r="A80" s="30" t="str">
        <f t="shared" si="27"/>
        <v>Óskráð verðbréf með br. tekjum (%)</v>
      </c>
      <c r="B80" s="101"/>
      <c r="C80" s="16">
        <f aca="true" t="shared" si="35" ref="C80:AH80">+C76*C11/100</f>
        <v>0</v>
      </c>
      <c r="D80" s="16">
        <f t="shared" si="35"/>
        <v>34743.086</v>
      </c>
      <c r="E80" s="16">
        <f t="shared" si="35"/>
        <v>0</v>
      </c>
      <c r="F80" s="16">
        <f t="shared" si="35"/>
        <v>0</v>
      </c>
      <c r="G80" s="16">
        <f t="shared" si="35"/>
        <v>0</v>
      </c>
      <c r="H80" s="16">
        <f t="shared" si="35"/>
        <v>259593.69239999997</v>
      </c>
      <c r="I80" s="16">
        <f t="shared" si="35"/>
        <v>55294.879</v>
      </c>
      <c r="J80" s="16">
        <f t="shared" si="35"/>
        <v>100598.04400000001</v>
      </c>
      <c r="K80" s="16">
        <f t="shared" si="35"/>
        <v>0</v>
      </c>
      <c r="L80" s="16">
        <f t="shared" si="35"/>
        <v>618176.06</v>
      </c>
      <c r="M80" s="16">
        <f t="shared" si="35"/>
        <v>2741.8190000000004</v>
      </c>
      <c r="N80" s="16">
        <f t="shared" si="35"/>
        <v>0</v>
      </c>
      <c r="O80" s="16">
        <f t="shared" si="35"/>
        <v>30003.97</v>
      </c>
      <c r="P80" s="16">
        <f t="shared" si="35"/>
        <v>66208.311</v>
      </c>
      <c r="Q80" s="16">
        <f t="shared" si="35"/>
        <v>0</v>
      </c>
      <c r="R80" s="16">
        <f t="shared" si="35"/>
        <v>0</v>
      </c>
      <c r="S80" s="16">
        <f t="shared" si="35"/>
        <v>417159</v>
      </c>
      <c r="T80" s="16">
        <f t="shared" si="35"/>
        <v>35977.032</v>
      </c>
      <c r="U80" s="16">
        <f t="shared" si="35"/>
        <v>136071.333</v>
      </c>
      <c r="V80" s="16">
        <f t="shared" si="35"/>
        <v>77714.155</v>
      </c>
      <c r="W80" s="16">
        <f t="shared" si="35"/>
        <v>129377.439</v>
      </c>
      <c r="X80" s="16">
        <f t="shared" si="35"/>
        <v>0</v>
      </c>
      <c r="Y80" s="16">
        <f t="shared" si="35"/>
        <v>24028.090700000004</v>
      </c>
      <c r="Z80" s="16">
        <f t="shared" si="35"/>
        <v>399100.41</v>
      </c>
      <c r="AA80" s="16">
        <f t="shared" si="35"/>
        <v>0</v>
      </c>
      <c r="AB80" s="16">
        <f t="shared" si="35"/>
        <v>34116.8004</v>
      </c>
      <c r="AC80" s="16">
        <f t="shared" si="35"/>
        <v>88228.23186100001</v>
      </c>
      <c r="AD80" s="16">
        <f t="shared" si="35"/>
        <v>28302.384000000005</v>
      </c>
      <c r="AE80" s="16">
        <f t="shared" si="35"/>
        <v>48845.0508</v>
      </c>
      <c r="AF80" s="16">
        <f t="shared" si="35"/>
        <v>0</v>
      </c>
      <c r="AG80" s="16">
        <f t="shared" si="35"/>
        <v>0</v>
      </c>
      <c r="AH80" s="16">
        <f t="shared" si="35"/>
        <v>194246.3457</v>
      </c>
      <c r="AI80" s="16">
        <f aca="true" t="shared" si="36" ref="AI80:BI80">+AI76*AI11/100</f>
        <v>15738.327000000001</v>
      </c>
      <c r="AJ80" s="16">
        <f t="shared" si="36"/>
        <v>10973.491499999998</v>
      </c>
      <c r="AK80" s="16">
        <f t="shared" si="36"/>
        <v>80071.7964</v>
      </c>
      <c r="AL80" s="16">
        <f t="shared" si="36"/>
        <v>1390.4486009999998</v>
      </c>
      <c r="AM80" s="16">
        <f t="shared" si="36"/>
        <v>0</v>
      </c>
      <c r="AN80" s="16">
        <f t="shared" si="36"/>
        <v>0</v>
      </c>
      <c r="AO80" s="16">
        <f t="shared" si="36"/>
        <v>0</v>
      </c>
      <c r="AP80" s="16">
        <f t="shared" si="36"/>
        <v>10169.564999999999</v>
      </c>
      <c r="AQ80" s="16">
        <f t="shared" si="36"/>
        <v>45926.129499999995</v>
      </c>
      <c r="AR80" s="16">
        <f t="shared" si="36"/>
        <v>0</v>
      </c>
      <c r="AS80" s="16">
        <f t="shared" si="36"/>
        <v>44087.988</v>
      </c>
      <c r="AT80" s="16">
        <f t="shared" si="36"/>
        <v>0</v>
      </c>
      <c r="AU80" s="16">
        <f t="shared" si="36"/>
        <v>2831.1540000000005</v>
      </c>
      <c r="AV80" s="16">
        <f t="shared" si="36"/>
        <v>12862.711334200001</v>
      </c>
      <c r="AW80" s="16">
        <f t="shared" si="36"/>
        <v>135.8748</v>
      </c>
      <c r="AX80" s="16">
        <f t="shared" si="36"/>
        <v>0</v>
      </c>
      <c r="AY80" s="16">
        <f t="shared" si="36"/>
        <v>0</v>
      </c>
      <c r="AZ80" s="16">
        <f t="shared" si="36"/>
        <v>0</v>
      </c>
      <c r="BA80" s="16">
        <f t="shared" si="36"/>
        <v>10733.886</v>
      </c>
      <c r="BB80" s="16">
        <f t="shared" si="36"/>
        <v>8662.788</v>
      </c>
      <c r="BC80" s="16">
        <f t="shared" si="36"/>
        <v>0</v>
      </c>
      <c r="BD80" s="16">
        <f t="shared" si="36"/>
        <v>0</v>
      </c>
      <c r="BE80" s="16">
        <f t="shared" si="36"/>
        <v>0</v>
      </c>
      <c r="BF80" s="16">
        <f t="shared" si="36"/>
        <v>1539.576</v>
      </c>
      <c r="BG80" s="16">
        <f t="shared" si="36"/>
        <v>0</v>
      </c>
      <c r="BH80" s="16">
        <f t="shared" si="36"/>
        <v>8489.9168</v>
      </c>
      <c r="BI80" s="16">
        <f t="shared" si="36"/>
        <v>0</v>
      </c>
      <c r="BJ80" s="16"/>
      <c r="BK80" s="30">
        <f t="shared" si="34"/>
        <v>3034139.786796199</v>
      </c>
      <c r="BL80" s="30"/>
      <c r="BM80" s="30">
        <f t="shared" si="30"/>
        <v>93913.8068</v>
      </c>
      <c r="BN80" s="30">
        <f t="shared" si="31"/>
        <v>2940225.9799961993</v>
      </c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</row>
    <row r="81" spans="1:168" ht="12.75">
      <c r="A81" s="30" t="str">
        <f t="shared" si="27"/>
        <v>Óskráð verðbréf með föst. tekjum (%)</v>
      </c>
      <c r="B81" s="101"/>
      <c r="C81" s="16">
        <f aca="true" t="shared" si="37" ref="C81:AH81">+C76*C12/100</f>
        <v>4967761.535999999</v>
      </c>
      <c r="D81" s="16">
        <f t="shared" si="37"/>
        <v>2049842.074</v>
      </c>
      <c r="E81" s="16">
        <f t="shared" si="37"/>
        <v>0</v>
      </c>
      <c r="F81" s="16">
        <f t="shared" si="37"/>
        <v>0</v>
      </c>
      <c r="G81" s="16">
        <f t="shared" si="37"/>
        <v>10324354.304000001</v>
      </c>
      <c r="H81" s="16">
        <f t="shared" si="37"/>
        <v>3634311.6936000003</v>
      </c>
      <c r="I81" s="16">
        <f t="shared" si="37"/>
        <v>3649462.014</v>
      </c>
      <c r="J81" s="16">
        <f t="shared" si="37"/>
        <v>2313755.012</v>
      </c>
      <c r="K81" s="16">
        <f t="shared" si="37"/>
        <v>0</v>
      </c>
      <c r="L81" s="16">
        <f t="shared" si="37"/>
        <v>927264.09</v>
      </c>
      <c r="M81" s="16">
        <f t="shared" si="37"/>
        <v>575781.99</v>
      </c>
      <c r="N81" s="16">
        <f t="shared" si="37"/>
        <v>128616.849</v>
      </c>
      <c r="O81" s="16">
        <f t="shared" si="37"/>
        <v>267035.333</v>
      </c>
      <c r="P81" s="16">
        <f t="shared" si="37"/>
        <v>1302096.783</v>
      </c>
      <c r="Q81" s="16">
        <f t="shared" si="37"/>
        <v>1966808.001</v>
      </c>
      <c r="R81" s="16">
        <f t="shared" si="37"/>
        <v>299835.46</v>
      </c>
      <c r="S81" s="16">
        <f t="shared" si="37"/>
        <v>816936.375</v>
      </c>
      <c r="T81" s="16">
        <f t="shared" si="37"/>
        <v>70455.02100000001</v>
      </c>
      <c r="U81" s="16">
        <f t="shared" si="37"/>
        <v>967618.3680000001</v>
      </c>
      <c r="V81" s="16">
        <f t="shared" si="37"/>
        <v>870398.536</v>
      </c>
      <c r="W81" s="16">
        <f t="shared" si="37"/>
        <v>862516.26</v>
      </c>
      <c r="X81" s="16">
        <f t="shared" si="37"/>
        <v>4907.88</v>
      </c>
      <c r="Y81" s="16">
        <f t="shared" si="37"/>
        <v>269962.6661</v>
      </c>
      <c r="Z81" s="16">
        <f t="shared" si="37"/>
        <v>705077.391</v>
      </c>
      <c r="AA81" s="16">
        <f t="shared" si="37"/>
        <v>845992.4219999999</v>
      </c>
      <c r="AB81" s="16">
        <f t="shared" si="37"/>
        <v>505434.08</v>
      </c>
      <c r="AC81" s="16">
        <f t="shared" si="37"/>
        <v>794054.0867490001</v>
      </c>
      <c r="AD81" s="16">
        <f t="shared" si="37"/>
        <v>21226.787999999997</v>
      </c>
      <c r="AE81" s="16">
        <f t="shared" si="37"/>
        <v>769309.5500999999</v>
      </c>
      <c r="AF81" s="16">
        <f t="shared" si="37"/>
        <v>238931.0048</v>
      </c>
      <c r="AG81" s="16">
        <f t="shared" si="37"/>
        <v>0</v>
      </c>
      <c r="AH81" s="16">
        <f t="shared" si="37"/>
        <v>167431.1936</v>
      </c>
      <c r="AI81" s="16">
        <f aca="true" t="shared" si="38" ref="AI81:BI81">+AI76*AI12/100</f>
        <v>13565.696000000002</v>
      </c>
      <c r="AJ81" s="16">
        <f t="shared" si="38"/>
        <v>1686259.8605000002</v>
      </c>
      <c r="AK81" s="16">
        <f t="shared" si="38"/>
        <v>310976.5116</v>
      </c>
      <c r="AL81" s="16">
        <f t="shared" si="38"/>
        <v>0</v>
      </c>
      <c r="AM81" s="16">
        <f t="shared" si="38"/>
        <v>200868.282</v>
      </c>
      <c r="AN81" s="16">
        <f t="shared" si="38"/>
        <v>142091.096</v>
      </c>
      <c r="AO81" s="16">
        <f t="shared" si="38"/>
        <v>70927.442</v>
      </c>
      <c r="AP81" s="16">
        <f t="shared" si="38"/>
        <v>958844.7</v>
      </c>
      <c r="AQ81" s="16">
        <f t="shared" si="38"/>
        <v>153236.4516</v>
      </c>
      <c r="AR81" s="16">
        <f t="shared" si="38"/>
        <v>32097.6227</v>
      </c>
      <c r="AS81" s="16">
        <f t="shared" si="38"/>
        <v>88175.976</v>
      </c>
      <c r="AT81" s="16">
        <f t="shared" si="38"/>
        <v>0</v>
      </c>
      <c r="AU81" s="16">
        <f t="shared" si="38"/>
        <v>76441.15800000001</v>
      </c>
      <c r="AV81" s="16">
        <f t="shared" si="38"/>
        <v>159158.3842012</v>
      </c>
      <c r="AW81" s="16">
        <f t="shared" si="38"/>
        <v>5299.1172</v>
      </c>
      <c r="AX81" s="16">
        <f t="shared" si="38"/>
        <v>23175.7</v>
      </c>
      <c r="AY81" s="16">
        <f t="shared" si="38"/>
        <v>104047.41200000001</v>
      </c>
      <c r="AZ81" s="16">
        <f t="shared" si="38"/>
        <v>65054.164000000004</v>
      </c>
      <c r="BA81" s="16">
        <f t="shared" si="38"/>
        <v>151467.058</v>
      </c>
      <c r="BB81" s="16">
        <f t="shared" si="38"/>
        <v>36094.95</v>
      </c>
      <c r="BC81" s="16">
        <f t="shared" si="38"/>
        <v>2947.44</v>
      </c>
      <c r="BD81" s="16">
        <f t="shared" si="38"/>
        <v>0</v>
      </c>
      <c r="BE81" s="16">
        <f t="shared" si="38"/>
        <v>53074.724</v>
      </c>
      <c r="BF81" s="16">
        <f t="shared" si="38"/>
        <v>8275.221</v>
      </c>
      <c r="BG81" s="16">
        <f t="shared" si="38"/>
        <v>17434.986</v>
      </c>
      <c r="BH81" s="16">
        <f t="shared" si="38"/>
        <v>3420.4696000000004</v>
      </c>
      <c r="BI81" s="16">
        <f t="shared" si="38"/>
        <v>0</v>
      </c>
      <c r="BJ81" s="16"/>
      <c r="BK81" s="30">
        <f t="shared" si="34"/>
        <v>44680111.18435021</v>
      </c>
      <c r="BL81" s="30"/>
      <c r="BM81" s="30">
        <f t="shared" si="30"/>
        <v>6516917.066599999</v>
      </c>
      <c r="BN81" s="30">
        <f t="shared" si="31"/>
        <v>38163194.1177502</v>
      </c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</row>
    <row r="82" spans="1:168" ht="12.75">
      <c r="A82" s="30" t="str">
        <f t="shared" si="27"/>
        <v>Veðlán (%)</v>
      </c>
      <c r="B82" s="101"/>
      <c r="C82" s="16">
        <f aca="true" t="shared" si="39" ref="C82:AH82">+C76*C13/100</f>
        <v>18359118.72</v>
      </c>
      <c r="D82" s="16">
        <f t="shared" si="39"/>
        <v>7573992.748000001</v>
      </c>
      <c r="E82" s="16">
        <f t="shared" si="39"/>
        <v>75164</v>
      </c>
      <c r="F82" s="16">
        <f t="shared" si="39"/>
        <v>0</v>
      </c>
      <c r="G82" s="16">
        <f t="shared" si="39"/>
        <v>21939252.895999998</v>
      </c>
      <c r="H82" s="16">
        <f t="shared" si="39"/>
        <v>8634580.6734</v>
      </c>
      <c r="I82" s="16">
        <f t="shared" si="39"/>
        <v>4147115.925</v>
      </c>
      <c r="J82" s="16">
        <f t="shared" si="39"/>
        <v>11769971.148</v>
      </c>
      <c r="K82" s="16">
        <f t="shared" si="39"/>
        <v>0</v>
      </c>
      <c r="L82" s="16">
        <f t="shared" si="39"/>
        <v>1236352.12</v>
      </c>
      <c r="M82" s="16">
        <f t="shared" si="39"/>
        <v>1178982.17</v>
      </c>
      <c r="N82" s="16">
        <f t="shared" si="39"/>
        <v>285815.22</v>
      </c>
      <c r="O82" s="16">
        <f t="shared" si="39"/>
        <v>0</v>
      </c>
      <c r="P82" s="16">
        <f t="shared" si="39"/>
        <v>6642900.5370000005</v>
      </c>
      <c r="Q82" s="16">
        <f t="shared" si="39"/>
        <v>1435238.271</v>
      </c>
      <c r="R82" s="16">
        <f t="shared" si="39"/>
        <v>877459.655</v>
      </c>
      <c r="S82" s="16">
        <f t="shared" si="39"/>
        <v>3476325</v>
      </c>
      <c r="T82" s="16">
        <f t="shared" si="39"/>
        <v>299808.6</v>
      </c>
      <c r="U82" s="16">
        <f t="shared" si="39"/>
        <v>1315356.2189999998</v>
      </c>
      <c r="V82" s="16">
        <f t="shared" si="39"/>
        <v>2284796.1569999997</v>
      </c>
      <c r="W82" s="16">
        <f t="shared" si="39"/>
        <v>646887.195</v>
      </c>
      <c r="X82" s="16">
        <f t="shared" si="39"/>
        <v>2453.94</v>
      </c>
      <c r="Y82" s="16">
        <f t="shared" si="39"/>
        <v>3861455.5172</v>
      </c>
      <c r="Z82" s="16">
        <f t="shared" si="39"/>
        <v>1370244.7410000002</v>
      </c>
      <c r="AA82" s="16">
        <f t="shared" si="39"/>
        <v>1653530.6430000002</v>
      </c>
      <c r="AB82" s="16">
        <f t="shared" si="39"/>
        <v>1263.5852</v>
      </c>
      <c r="AC82" s="16">
        <f t="shared" si="39"/>
        <v>756241.9873800001</v>
      </c>
      <c r="AD82" s="16">
        <f t="shared" si="39"/>
        <v>2342022.276</v>
      </c>
      <c r="AE82" s="16">
        <f t="shared" si="39"/>
        <v>10332.6069</v>
      </c>
      <c r="AF82" s="16">
        <f t="shared" si="39"/>
        <v>1356914.1392</v>
      </c>
      <c r="AG82" s="16">
        <f t="shared" si="39"/>
        <v>0</v>
      </c>
      <c r="AH82" s="16">
        <f t="shared" si="39"/>
        <v>1153705.5684</v>
      </c>
      <c r="AI82" s="16">
        <f aca="true" t="shared" si="40" ref="AI82:BI82">+AI76*AI13/100</f>
        <v>93476.12400000001</v>
      </c>
      <c r="AJ82" s="16">
        <f t="shared" si="40"/>
        <v>466739.1718</v>
      </c>
      <c r="AK82" s="16">
        <f t="shared" si="40"/>
        <v>643057.2176</v>
      </c>
      <c r="AL82" s="16">
        <f t="shared" si="40"/>
        <v>0</v>
      </c>
      <c r="AM82" s="16">
        <f t="shared" si="40"/>
        <v>0</v>
      </c>
      <c r="AN82" s="16">
        <f t="shared" si="40"/>
        <v>126105.8477</v>
      </c>
      <c r="AO82" s="16">
        <f t="shared" si="40"/>
        <v>5248.250399999999</v>
      </c>
      <c r="AP82" s="16">
        <f t="shared" si="40"/>
        <v>1452.795</v>
      </c>
      <c r="AQ82" s="16">
        <f t="shared" si="40"/>
        <v>59367.9235</v>
      </c>
      <c r="AR82" s="16">
        <f t="shared" si="40"/>
        <v>47809.74569999999</v>
      </c>
      <c r="AS82" s="16">
        <f t="shared" si="40"/>
        <v>385769.895</v>
      </c>
      <c r="AT82" s="16">
        <f t="shared" si="40"/>
        <v>0</v>
      </c>
      <c r="AU82" s="16">
        <f t="shared" si="40"/>
        <v>360972.135</v>
      </c>
      <c r="AV82" s="16">
        <f t="shared" si="40"/>
        <v>90463.024768</v>
      </c>
      <c r="AW82" s="16">
        <f t="shared" si="40"/>
        <v>34104.574799999995</v>
      </c>
      <c r="AX82" s="16">
        <f t="shared" si="40"/>
        <v>133260.275</v>
      </c>
      <c r="AY82" s="16">
        <f t="shared" si="40"/>
        <v>82451.0164</v>
      </c>
      <c r="AZ82" s="16">
        <f t="shared" si="40"/>
        <v>0</v>
      </c>
      <c r="BA82" s="16">
        <f t="shared" si="40"/>
        <v>33394.312</v>
      </c>
      <c r="BB82" s="16">
        <f t="shared" si="40"/>
        <v>102028.39199999999</v>
      </c>
      <c r="BC82" s="16">
        <f t="shared" si="40"/>
        <v>0</v>
      </c>
      <c r="BD82" s="16">
        <f t="shared" si="40"/>
        <v>33290.777979</v>
      </c>
      <c r="BE82" s="16">
        <f t="shared" si="40"/>
        <v>9682.551000000001</v>
      </c>
      <c r="BF82" s="16">
        <f t="shared" si="40"/>
        <v>6158.304</v>
      </c>
      <c r="BG82" s="16">
        <f t="shared" si="40"/>
        <v>37392.014</v>
      </c>
      <c r="BH82" s="16">
        <f t="shared" si="40"/>
        <v>4645.6136</v>
      </c>
      <c r="BI82" s="16">
        <f t="shared" si="40"/>
        <v>0</v>
      </c>
      <c r="BJ82" s="16"/>
      <c r="BK82" s="30">
        <f t="shared" si="34"/>
        <v>107444152.219927</v>
      </c>
      <c r="BL82" s="30"/>
      <c r="BM82" s="30">
        <f t="shared" si="30"/>
        <v>23557444.085399996</v>
      </c>
      <c r="BN82" s="30">
        <f t="shared" si="31"/>
        <v>83886708.13452697</v>
      </c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</row>
    <row r="83" spans="1:168" ht="12.75">
      <c r="A83" s="30" t="str">
        <f t="shared" si="27"/>
        <v>Annað (%)</v>
      </c>
      <c r="B83" s="101"/>
      <c r="C83" s="16">
        <f>+C76*C25/100</f>
        <v>0</v>
      </c>
      <c r="D83" s="16">
        <f>+D76*D25/100</f>
        <v>0</v>
      </c>
      <c r="E83" s="16">
        <f>+E76*E25/100</f>
        <v>0</v>
      </c>
      <c r="F83" s="16">
        <f>+F76*F25/100</f>
        <v>0</v>
      </c>
      <c r="G83" s="16">
        <f aca="true" t="shared" si="41" ref="G83:AL83">+G76*G14/100</f>
        <v>0</v>
      </c>
      <c r="H83" s="16">
        <f t="shared" si="41"/>
        <v>747877.0662</v>
      </c>
      <c r="I83" s="16">
        <f t="shared" si="41"/>
        <v>0</v>
      </c>
      <c r="J83" s="16">
        <f t="shared" si="41"/>
        <v>0</v>
      </c>
      <c r="K83" s="16">
        <f t="shared" si="41"/>
        <v>0</v>
      </c>
      <c r="L83" s="16">
        <f t="shared" si="41"/>
        <v>1854528.18</v>
      </c>
      <c r="M83" s="16">
        <f t="shared" si="41"/>
        <v>0</v>
      </c>
      <c r="N83" s="16">
        <f t="shared" si="41"/>
        <v>0</v>
      </c>
      <c r="O83" s="16">
        <f t="shared" si="41"/>
        <v>0</v>
      </c>
      <c r="P83" s="16">
        <f t="shared" si="41"/>
        <v>132416.622</v>
      </c>
      <c r="Q83" s="16">
        <f t="shared" si="41"/>
        <v>0</v>
      </c>
      <c r="R83" s="16">
        <f t="shared" si="41"/>
        <v>0</v>
      </c>
      <c r="S83" s="16">
        <f t="shared" si="41"/>
        <v>208579.5</v>
      </c>
      <c r="T83" s="16">
        <f t="shared" si="41"/>
        <v>17988.516</v>
      </c>
      <c r="U83" s="16">
        <f t="shared" si="41"/>
        <v>801308.9609999999</v>
      </c>
      <c r="V83" s="16">
        <f t="shared" si="41"/>
        <v>0</v>
      </c>
      <c r="W83" s="16">
        <f t="shared" si="41"/>
        <v>0</v>
      </c>
      <c r="X83" s="16">
        <f t="shared" si="41"/>
        <v>0</v>
      </c>
      <c r="Y83" s="16">
        <f t="shared" si="41"/>
        <v>1710234.6909999999</v>
      </c>
      <c r="Z83" s="16">
        <f t="shared" si="41"/>
        <v>518830.533</v>
      </c>
      <c r="AA83" s="16">
        <f t="shared" si="41"/>
        <v>0</v>
      </c>
      <c r="AB83" s="16">
        <f t="shared" si="41"/>
        <v>1187770.0880000002</v>
      </c>
      <c r="AC83" s="16">
        <f t="shared" si="41"/>
        <v>831866.186118</v>
      </c>
      <c r="AD83" s="16">
        <f t="shared" si="41"/>
        <v>0</v>
      </c>
      <c r="AE83" s="16">
        <f t="shared" si="41"/>
        <v>282737.69789999997</v>
      </c>
      <c r="AF83" s="16">
        <f t="shared" si="41"/>
        <v>0</v>
      </c>
      <c r="AG83" s="16">
        <f t="shared" si="41"/>
        <v>0</v>
      </c>
      <c r="AH83" s="16">
        <f t="shared" si="41"/>
        <v>254416.9309</v>
      </c>
      <c r="AI83" s="16">
        <f t="shared" si="41"/>
        <v>20613.499</v>
      </c>
      <c r="AJ83" s="16">
        <f t="shared" si="41"/>
        <v>0</v>
      </c>
      <c r="AK83" s="16">
        <f t="shared" si="41"/>
        <v>134073.70560000002</v>
      </c>
      <c r="AL83" s="16">
        <f t="shared" si="41"/>
        <v>0</v>
      </c>
      <c r="AM83" s="16">
        <f aca="true" t="shared" si="42" ref="AM83:BI83">+AM76*AM14/100</f>
        <v>0</v>
      </c>
      <c r="AN83" s="16">
        <f t="shared" si="42"/>
        <v>0</v>
      </c>
      <c r="AO83" s="16">
        <f t="shared" si="42"/>
        <v>0</v>
      </c>
      <c r="AP83" s="16">
        <f t="shared" si="42"/>
        <v>0</v>
      </c>
      <c r="AQ83" s="16">
        <f t="shared" si="42"/>
        <v>586062.2184</v>
      </c>
      <c r="AR83" s="16">
        <f t="shared" si="42"/>
        <v>4489.178000000001</v>
      </c>
      <c r="AS83" s="16">
        <f t="shared" si="42"/>
        <v>0</v>
      </c>
      <c r="AT83" s="16">
        <f t="shared" si="42"/>
        <v>0</v>
      </c>
      <c r="AU83" s="16">
        <f t="shared" si="42"/>
        <v>21233.655</v>
      </c>
      <c r="AV83" s="16">
        <f t="shared" si="42"/>
        <v>437473.53383900004</v>
      </c>
      <c r="AW83" s="16">
        <f t="shared" si="42"/>
        <v>0</v>
      </c>
      <c r="AX83" s="16">
        <f t="shared" si="42"/>
        <v>23175.7</v>
      </c>
      <c r="AY83" s="16">
        <f t="shared" si="42"/>
        <v>0</v>
      </c>
      <c r="AZ83" s="16">
        <f t="shared" si="42"/>
        <v>0</v>
      </c>
      <c r="BA83" s="16">
        <f t="shared" si="42"/>
        <v>287429.614</v>
      </c>
      <c r="BB83" s="16">
        <f t="shared" si="42"/>
        <v>0</v>
      </c>
      <c r="BC83" s="16">
        <f t="shared" si="42"/>
        <v>0</v>
      </c>
      <c r="BD83" s="16">
        <f t="shared" si="42"/>
        <v>0</v>
      </c>
      <c r="BE83" s="16">
        <f t="shared" si="42"/>
        <v>40523.269</v>
      </c>
      <c r="BF83" s="16">
        <f t="shared" si="42"/>
        <v>31368.861</v>
      </c>
      <c r="BG83" s="16">
        <f t="shared" si="42"/>
        <v>0</v>
      </c>
      <c r="BH83" s="16">
        <f t="shared" si="42"/>
        <v>0</v>
      </c>
      <c r="BI83" s="16">
        <f t="shared" si="42"/>
        <v>0</v>
      </c>
      <c r="BJ83" s="16"/>
      <c r="BK83" s="30">
        <f t="shared" si="34"/>
        <v>10134998.205956997</v>
      </c>
      <c r="BL83" s="30"/>
      <c r="BM83" s="30">
        <f t="shared" si="30"/>
        <v>116301.485</v>
      </c>
      <c r="BN83" s="30">
        <f t="shared" si="31"/>
        <v>10018696.720957</v>
      </c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</row>
    <row r="84" spans="1:66" ht="12.75">
      <c r="A84" s="30" t="str">
        <f t="shared" si="27"/>
        <v>          Samtals:                                       </v>
      </c>
      <c r="B84" s="101"/>
      <c r="C84" s="16">
        <f aca="true" t="shared" si="43" ref="C84:AH84">SUM(C78:C83)</f>
        <v>107994816</v>
      </c>
      <c r="D84" s="16">
        <f t="shared" si="43"/>
        <v>34743086</v>
      </c>
      <c r="E84" s="16">
        <f t="shared" si="43"/>
        <v>75164</v>
      </c>
      <c r="F84" s="16">
        <f t="shared" si="43"/>
        <v>0</v>
      </c>
      <c r="G84" s="16">
        <f t="shared" si="43"/>
        <v>117322208</v>
      </c>
      <c r="H84" s="16">
        <f t="shared" si="43"/>
        <v>61808022.00000001</v>
      </c>
      <c r="I84" s="16">
        <f t="shared" si="43"/>
        <v>55294879</v>
      </c>
      <c r="J84" s="16">
        <f t="shared" si="43"/>
        <v>50299022.00000001</v>
      </c>
      <c r="K84" s="16">
        <f t="shared" si="43"/>
        <v>0</v>
      </c>
      <c r="L84" s="16">
        <f t="shared" si="43"/>
        <v>30908803</v>
      </c>
      <c r="M84" s="16">
        <f t="shared" si="43"/>
        <v>27407222.724</v>
      </c>
      <c r="N84" s="16">
        <f t="shared" si="43"/>
        <v>4763587</v>
      </c>
      <c r="O84" s="16">
        <f t="shared" si="43"/>
        <v>3000397.0000000005</v>
      </c>
      <c r="P84" s="16">
        <f t="shared" si="43"/>
        <v>22069437</v>
      </c>
      <c r="Q84" s="16">
        <f t="shared" si="43"/>
        <v>17718991</v>
      </c>
      <c r="R84" s="16">
        <f t="shared" si="43"/>
        <v>4409345</v>
      </c>
      <c r="S84" s="16">
        <f t="shared" si="43"/>
        <v>17381625</v>
      </c>
      <c r="T84" s="16">
        <f t="shared" si="43"/>
        <v>1499042.9999999998</v>
      </c>
      <c r="U84" s="16">
        <f t="shared" si="43"/>
        <v>15119037</v>
      </c>
      <c r="V84" s="16">
        <f t="shared" si="43"/>
        <v>15542830.999999998</v>
      </c>
      <c r="W84" s="16">
        <f t="shared" si="43"/>
        <v>14375271</v>
      </c>
      <c r="X84" s="16">
        <f t="shared" si="43"/>
        <v>204495</v>
      </c>
      <c r="Y84" s="16">
        <f t="shared" si="43"/>
        <v>14131344.1658</v>
      </c>
      <c r="Z84" s="16">
        <f t="shared" si="43"/>
        <v>13157010.183000002</v>
      </c>
      <c r="AA84" s="16">
        <f t="shared" si="43"/>
        <v>12818067</v>
      </c>
      <c r="AB84" s="16">
        <f t="shared" si="43"/>
        <v>12635852</v>
      </c>
      <c r="AC84" s="16">
        <f t="shared" si="43"/>
        <v>12604033.123000002</v>
      </c>
      <c r="AD84" s="16">
        <f t="shared" si="43"/>
        <v>3537798</v>
      </c>
      <c r="AE84" s="16">
        <f t="shared" si="43"/>
        <v>9393278.999999998</v>
      </c>
      <c r="AF84" s="16">
        <f t="shared" si="43"/>
        <v>8916227.5336</v>
      </c>
      <c r="AG84" s="16">
        <f t="shared" si="43"/>
        <v>723907.61</v>
      </c>
      <c r="AH84" s="16">
        <f t="shared" si="43"/>
        <v>6540935.0281</v>
      </c>
      <c r="AI84" s="16">
        <f aca="true" t="shared" si="44" ref="AI84:BI84">SUM(AI78:AI83)</f>
        <v>529962.9909999999</v>
      </c>
      <c r="AJ84" s="16">
        <f t="shared" si="44"/>
        <v>7315660.999999999</v>
      </c>
      <c r="AK84" s="16">
        <f t="shared" si="44"/>
        <v>6207116</v>
      </c>
      <c r="AL84" s="16">
        <f t="shared" si="44"/>
        <v>463482.867</v>
      </c>
      <c r="AM84" s="16">
        <f t="shared" si="44"/>
        <v>3239811</v>
      </c>
      <c r="AN84" s="16">
        <f t="shared" si="44"/>
        <v>2538355.9364</v>
      </c>
      <c r="AO84" s="16">
        <f t="shared" si="44"/>
        <v>190153.99999999997</v>
      </c>
      <c r="AP84" s="16">
        <f t="shared" si="44"/>
        <v>1452794.9999999998</v>
      </c>
      <c r="AQ84" s="16">
        <f t="shared" si="44"/>
        <v>2240074.9701</v>
      </c>
      <c r="AR84" s="16">
        <f t="shared" si="44"/>
        <v>2243466.7054999997</v>
      </c>
      <c r="AS84" s="16">
        <f t="shared" si="44"/>
        <v>1574571</v>
      </c>
      <c r="AT84" s="16">
        <f t="shared" si="44"/>
        <v>108749</v>
      </c>
      <c r="AU84" s="16">
        <f t="shared" si="44"/>
        <v>1415577.0000000002</v>
      </c>
      <c r="AV84" s="16">
        <f t="shared" si="44"/>
        <v>1413484.762</v>
      </c>
      <c r="AW84" s="16">
        <f t="shared" si="44"/>
        <v>1358748</v>
      </c>
      <c r="AX84" s="16">
        <f t="shared" si="44"/>
        <v>1158784.9999999998</v>
      </c>
      <c r="AY84" s="16">
        <f t="shared" si="44"/>
        <v>874347.9999999999</v>
      </c>
      <c r="AZ84" s="16">
        <f t="shared" si="44"/>
        <v>663818.0000000001</v>
      </c>
      <c r="BA84" s="16">
        <f t="shared" si="44"/>
        <v>596327</v>
      </c>
      <c r="BB84" s="16">
        <f t="shared" si="44"/>
        <v>481266.00000000006</v>
      </c>
      <c r="BC84" s="16">
        <f t="shared" si="44"/>
        <v>491240</v>
      </c>
      <c r="BD84" s="16">
        <f t="shared" si="44"/>
        <v>410997.259</v>
      </c>
      <c r="BE84" s="16">
        <f t="shared" si="44"/>
        <v>358613</v>
      </c>
      <c r="BF84" s="16">
        <f t="shared" si="44"/>
        <v>192447</v>
      </c>
      <c r="BG84" s="16">
        <f t="shared" si="44"/>
        <v>54827</v>
      </c>
      <c r="BH84" s="16">
        <f t="shared" si="44"/>
        <v>16556</v>
      </c>
      <c r="BI84" s="16">
        <f t="shared" si="44"/>
        <v>0</v>
      </c>
      <c r="BJ84" s="16"/>
      <c r="BK84" s="30">
        <f t="shared" si="34"/>
        <v>733986969.8585</v>
      </c>
      <c r="BL84" s="30"/>
      <c r="BM84" s="30">
        <f t="shared" si="30"/>
        <v>133982800</v>
      </c>
      <c r="BN84" s="30">
        <f t="shared" si="31"/>
        <v>600004169.8585</v>
      </c>
    </row>
    <row r="85" spans="3:66" ht="12.75">
      <c r="C85" s="16"/>
      <c r="D85" s="30"/>
      <c r="E85" s="16"/>
      <c r="F85" s="16"/>
      <c r="G85" s="16"/>
      <c r="H85" s="16"/>
      <c r="I85" s="16"/>
      <c r="J85" s="16"/>
      <c r="K85" s="30"/>
      <c r="L85" s="30"/>
      <c r="M85" s="30"/>
      <c r="N85" s="16"/>
      <c r="O85" s="16"/>
      <c r="P85" s="16"/>
      <c r="Q85" s="30"/>
      <c r="R85" s="30"/>
      <c r="S85" s="30"/>
      <c r="T85" s="30"/>
      <c r="U85" s="30"/>
      <c r="V85" s="16"/>
      <c r="W85" s="16"/>
      <c r="X85" s="16"/>
      <c r="Y85" s="30"/>
      <c r="Z85" s="30"/>
      <c r="AA85" s="16"/>
      <c r="AB85" s="16"/>
      <c r="AC85" s="30"/>
      <c r="AD85" s="16"/>
      <c r="AE85" s="30"/>
      <c r="AF85" s="16"/>
      <c r="AG85" s="30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30"/>
      <c r="AT85" s="16"/>
      <c r="AU85" s="16"/>
      <c r="AV85" s="16"/>
      <c r="AW85" s="16"/>
      <c r="AX85" s="30"/>
      <c r="AY85" s="16"/>
      <c r="AZ85" s="16"/>
      <c r="BA85" s="16"/>
      <c r="BB85" s="16"/>
      <c r="BC85" s="16"/>
      <c r="BD85" s="16"/>
      <c r="BE85" s="16"/>
      <c r="BF85" s="16"/>
      <c r="BG85" s="16"/>
      <c r="BH85" s="30"/>
      <c r="BI85" s="30"/>
      <c r="BJ85" s="82"/>
      <c r="BK85" s="30"/>
      <c r="BL85" s="30"/>
      <c r="BM85" s="30"/>
      <c r="BN85" s="30"/>
    </row>
    <row r="86" spans="2:70" s="79" customFormat="1" ht="12.75">
      <c r="B86" s="31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</row>
    <row r="87" spans="3:66" ht="12.75">
      <c r="C87" s="16"/>
      <c r="D87" s="82"/>
      <c r="E87" s="82"/>
      <c r="F87" s="82"/>
      <c r="G87" s="82"/>
      <c r="I87" s="82"/>
      <c r="J87" s="82"/>
      <c r="K87" s="82"/>
      <c r="L87" s="82"/>
      <c r="M87" s="82"/>
      <c r="N87" s="82"/>
      <c r="O87" s="82"/>
      <c r="P87" s="82"/>
      <c r="Q87" s="106"/>
      <c r="R87" s="106"/>
      <c r="S87" s="106"/>
      <c r="T87" s="106"/>
      <c r="U87" s="82"/>
      <c r="V87" s="82"/>
      <c r="W87" s="82"/>
      <c r="X87" s="82"/>
      <c r="Y87" s="106"/>
      <c r="Z87" s="82"/>
      <c r="AA87" s="82"/>
      <c r="AB87" s="82"/>
      <c r="AC87" s="82"/>
      <c r="AD87" s="82"/>
      <c r="AE87" s="82"/>
      <c r="AF87" s="82"/>
      <c r="AG87" s="106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106"/>
      <c r="AT87" s="82"/>
      <c r="AU87" s="82"/>
      <c r="AV87" s="82"/>
      <c r="AW87" s="82"/>
      <c r="AX87" s="106"/>
      <c r="AY87" s="82"/>
      <c r="AZ87" s="82"/>
      <c r="BA87" s="82"/>
      <c r="BB87" s="82"/>
      <c r="BC87" s="82"/>
      <c r="BD87" s="82"/>
      <c r="BE87" s="82"/>
      <c r="BF87" s="82"/>
      <c r="BG87" s="82"/>
      <c r="BH87" s="106"/>
      <c r="BI87" s="82"/>
      <c r="BJ87" s="82"/>
      <c r="BK87" s="82"/>
      <c r="BL87" s="82"/>
      <c r="BM87" s="82"/>
      <c r="BN87" s="82"/>
    </row>
    <row r="88" spans="1:66" ht="12.75">
      <c r="A88" s="37" t="s">
        <v>391</v>
      </c>
      <c r="B88" s="10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106"/>
      <c r="R88" s="106"/>
      <c r="S88" s="106"/>
      <c r="T88" s="106"/>
      <c r="U88" s="82"/>
      <c r="V88" s="82"/>
      <c r="W88" s="82"/>
      <c r="X88" s="82"/>
      <c r="Y88" s="106"/>
      <c r="Z88" s="82"/>
      <c r="AA88" s="82"/>
      <c r="AB88" s="82"/>
      <c r="AC88" s="82"/>
      <c r="AD88" s="82"/>
      <c r="AE88" s="82"/>
      <c r="AF88" s="82"/>
      <c r="AG88" s="106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106"/>
      <c r="AT88" s="82"/>
      <c r="AU88" s="82"/>
      <c r="AV88" s="82"/>
      <c r="AW88" s="82"/>
      <c r="AX88" s="106"/>
      <c r="AY88" s="82"/>
      <c r="AZ88" s="82"/>
      <c r="BA88" s="82"/>
      <c r="BB88" s="82"/>
      <c r="BC88" s="82"/>
      <c r="BD88" s="82"/>
      <c r="BE88" s="82"/>
      <c r="BF88" s="82"/>
      <c r="BG88" s="82"/>
      <c r="BH88" s="106"/>
      <c r="BI88" s="82"/>
      <c r="BJ88" s="82"/>
      <c r="BK88" s="82"/>
      <c r="BL88" s="82"/>
      <c r="BM88" s="82"/>
      <c r="BN88" s="82"/>
    </row>
    <row r="89" spans="1:67" ht="12.75">
      <c r="A89" s="30" t="str">
        <f>+A16</f>
        <v>Eignir í ísl. kr. (%)</v>
      </c>
      <c r="B89" s="101"/>
      <c r="C89" s="16">
        <f aca="true" t="shared" si="45" ref="C89:AH89">+C76*C16/100</f>
        <v>89311712.832</v>
      </c>
      <c r="D89" s="16">
        <f t="shared" si="45"/>
        <v>25292966.607999995</v>
      </c>
      <c r="E89" s="16">
        <f t="shared" si="45"/>
        <v>75164</v>
      </c>
      <c r="F89" s="16">
        <f t="shared" si="45"/>
        <v>0</v>
      </c>
      <c r="G89" s="16">
        <f t="shared" si="45"/>
        <v>89751489.12</v>
      </c>
      <c r="H89" s="16">
        <f t="shared" si="45"/>
        <v>51288296.655600004</v>
      </c>
      <c r="I89" s="16">
        <f t="shared" si="45"/>
        <v>45894749.57</v>
      </c>
      <c r="J89" s="16">
        <f t="shared" si="45"/>
        <v>37573369.434</v>
      </c>
      <c r="K89" s="16">
        <f t="shared" si="45"/>
        <v>0</v>
      </c>
      <c r="L89" s="16">
        <f t="shared" si="45"/>
        <v>25654306.49</v>
      </c>
      <c r="M89" s="16">
        <f t="shared" si="45"/>
        <v>23231432.387000002</v>
      </c>
      <c r="N89" s="16">
        <f t="shared" si="45"/>
        <v>3301165.7909999997</v>
      </c>
      <c r="O89" s="16">
        <f t="shared" si="45"/>
        <v>1992263.608</v>
      </c>
      <c r="P89" s="16">
        <f t="shared" si="45"/>
        <v>18604535.391</v>
      </c>
      <c r="Q89" s="16">
        <f t="shared" si="45"/>
        <v>15433241.160999998</v>
      </c>
      <c r="R89" s="16">
        <f t="shared" si="45"/>
        <v>3946363.775</v>
      </c>
      <c r="S89" s="16">
        <f t="shared" si="45"/>
        <v>16912321.125</v>
      </c>
      <c r="T89" s="16">
        <f t="shared" si="45"/>
        <v>1458568.8390000002</v>
      </c>
      <c r="U89" s="16">
        <f t="shared" si="45"/>
        <v>11581182.341999998</v>
      </c>
      <c r="V89" s="16">
        <f t="shared" si="45"/>
        <v>12309922.152</v>
      </c>
      <c r="W89" s="16">
        <f t="shared" si="45"/>
        <v>11413965.174</v>
      </c>
      <c r="X89" s="16">
        <f t="shared" si="45"/>
        <v>187521.915</v>
      </c>
      <c r="Y89" s="16">
        <f t="shared" si="45"/>
        <v>10635963.6775</v>
      </c>
      <c r="Z89" s="16">
        <f t="shared" si="45"/>
        <v>9587722.1829</v>
      </c>
      <c r="AA89" s="16">
        <f t="shared" si="45"/>
        <v>9869911.59</v>
      </c>
      <c r="AB89" s="16">
        <f t="shared" si="45"/>
        <v>10155434.2524</v>
      </c>
      <c r="AC89" s="16">
        <f t="shared" si="45"/>
        <v>10385723.293352002</v>
      </c>
      <c r="AD89" s="16">
        <f t="shared" si="45"/>
        <v>3520109.01</v>
      </c>
      <c r="AE89" s="16">
        <f t="shared" si="45"/>
        <v>8167456.090500001</v>
      </c>
      <c r="AF89" s="16">
        <f t="shared" si="45"/>
        <v>7824098.8736000005</v>
      </c>
      <c r="AG89" s="16">
        <f t="shared" si="45"/>
        <v>564647.9358</v>
      </c>
      <c r="AH89" s="16">
        <f t="shared" si="45"/>
        <v>5525883.4169</v>
      </c>
      <c r="AI89" s="16">
        <f aca="true" t="shared" si="46" ref="AI89:BI89">+AI76*AI16/100</f>
        <v>447720.959</v>
      </c>
      <c r="AJ89" s="16">
        <f t="shared" si="46"/>
        <v>7242504.39</v>
      </c>
      <c r="AK89" s="16">
        <f t="shared" si="46"/>
        <v>4402707.378800001</v>
      </c>
      <c r="AL89" s="16">
        <f t="shared" si="46"/>
        <v>463482.867</v>
      </c>
      <c r="AM89" s="16">
        <f t="shared" si="46"/>
        <v>3239811</v>
      </c>
      <c r="AN89" s="16">
        <f t="shared" si="46"/>
        <v>2407175.4067</v>
      </c>
      <c r="AO89" s="16">
        <f t="shared" si="46"/>
        <v>190154</v>
      </c>
      <c r="AP89" s="16">
        <f t="shared" si="46"/>
        <v>1349646.555</v>
      </c>
      <c r="AQ89" s="16">
        <f t="shared" si="46"/>
        <v>1708452.0174</v>
      </c>
      <c r="AR89" s="16">
        <f t="shared" si="46"/>
        <v>2161539.207</v>
      </c>
      <c r="AS89" s="16">
        <f t="shared" si="46"/>
        <v>1094326.845</v>
      </c>
      <c r="AT89" s="16">
        <f t="shared" si="46"/>
        <v>99396.58600000001</v>
      </c>
      <c r="AU89" s="16">
        <f t="shared" si="46"/>
        <v>1172097.756</v>
      </c>
      <c r="AV89" s="16">
        <f t="shared" si="46"/>
        <v>1385497.7637123999</v>
      </c>
      <c r="AW89" s="16">
        <f t="shared" si="46"/>
        <v>1237004.1792000001</v>
      </c>
      <c r="AX89" s="16">
        <f t="shared" si="46"/>
        <v>973379.4</v>
      </c>
      <c r="AY89" s="16">
        <f t="shared" si="46"/>
        <v>656373.0436</v>
      </c>
      <c r="AZ89" s="16">
        <f t="shared" si="46"/>
        <v>652533.094</v>
      </c>
      <c r="BA89" s="16">
        <f t="shared" si="46"/>
        <v>582015.152</v>
      </c>
      <c r="BB89" s="16">
        <f t="shared" si="46"/>
        <v>366724.69200000004</v>
      </c>
      <c r="BC89" s="16">
        <f t="shared" si="46"/>
        <v>481906.44</v>
      </c>
      <c r="BD89" s="16">
        <f t="shared" si="46"/>
        <v>410997.25899999996</v>
      </c>
      <c r="BE89" s="16">
        <f t="shared" si="46"/>
        <v>358613</v>
      </c>
      <c r="BF89" s="16">
        <f t="shared" si="46"/>
        <v>192447</v>
      </c>
      <c r="BG89" s="16">
        <f t="shared" si="46"/>
        <v>54827</v>
      </c>
      <c r="BH89" s="16">
        <f t="shared" si="46"/>
        <v>15844.091999999999</v>
      </c>
      <c r="BI89" s="16">
        <f t="shared" si="46"/>
        <v>0</v>
      </c>
      <c r="BJ89" s="82"/>
      <c r="BK89" s="30">
        <f>SUM(C89:BI89)</f>
        <v>594798665.7759645</v>
      </c>
      <c r="BL89" s="30"/>
      <c r="BM89" s="30">
        <f>+C89+E89+F89+AA89+AD89+AM89+AO89+AS89+AU89+AX89+AY89+BB89+BE89+BF89+BG89+BH89</f>
        <v>111091495.2606</v>
      </c>
      <c r="BN89" s="30">
        <f>+D89+G89+H89+I89+J89+K89+L89+M89+N89+O89+P89+Q89+R89+S89+T89+U89+V89+W89+X89+Y89+Z89+AB89+AC89+AE89+AF89+AG89+AH89+AI89+AJ89+AK89+AL89+AN89+AP89+AQ89+AR89+AT89+AV89+AW89+AZ89+BA89+BC89+BD89+BI89</f>
        <v>483707170.51536447</v>
      </c>
      <c r="BO89" s="76"/>
    </row>
    <row r="90" spans="1:67" ht="12.75">
      <c r="A90" s="30" t="str">
        <f>+A17</f>
        <v>Eignir í erl. gjaldmiðlum (%)</v>
      </c>
      <c r="B90" s="101"/>
      <c r="C90" s="16">
        <f aca="true" t="shared" si="47" ref="C90:AH90">+C76*C17/100</f>
        <v>18683103.168</v>
      </c>
      <c r="D90" s="16">
        <f t="shared" si="47"/>
        <v>9450119.391999999</v>
      </c>
      <c r="E90" s="16">
        <f t="shared" si="47"/>
        <v>0</v>
      </c>
      <c r="F90" s="16">
        <f t="shared" si="47"/>
        <v>0</v>
      </c>
      <c r="G90" s="16">
        <f t="shared" si="47"/>
        <v>27570718.88</v>
      </c>
      <c r="H90" s="16">
        <f t="shared" si="47"/>
        <v>10519725.3444</v>
      </c>
      <c r="I90" s="16">
        <f t="shared" si="47"/>
        <v>9400129.43</v>
      </c>
      <c r="J90" s="16">
        <f t="shared" si="47"/>
        <v>12725652.566000002</v>
      </c>
      <c r="K90" s="16">
        <f t="shared" si="47"/>
        <v>0</v>
      </c>
      <c r="L90" s="16">
        <f t="shared" si="47"/>
        <v>5254496.51</v>
      </c>
      <c r="M90" s="16">
        <f t="shared" si="47"/>
        <v>4186757.613</v>
      </c>
      <c r="N90" s="16">
        <f t="shared" si="47"/>
        <v>1462421.209</v>
      </c>
      <c r="O90" s="16">
        <f t="shared" si="47"/>
        <v>1008133.392</v>
      </c>
      <c r="P90" s="16">
        <f t="shared" si="47"/>
        <v>3464901.6089999997</v>
      </c>
      <c r="Q90" s="16">
        <f t="shared" si="47"/>
        <v>2285749.839</v>
      </c>
      <c r="R90" s="16">
        <f t="shared" si="47"/>
        <v>462981.225</v>
      </c>
      <c r="S90" s="16">
        <f t="shared" si="47"/>
        <v>469303.875</v>
      </c>
      <c r="T90" s="16">
        <f t="shared" si="47"/>
        <v>40474.161</v>
      </c>
      <c r="U90" s="16">
        <f t="shared" si="47"/>
        <v>3537854.6579999994</v>
      </c>
      <c r="V90" s="16">
        <f t="shared" si="47"/>
        <v>3232908.848</v>
      </c>
      <c r="W90" s="16">
        <f t="shared" si="47"/>
        <v>2961305.8260000004</v>
      </c>
      <c r="X90" s="16">
        <f t="shared" si="47"/>
        <v>16973.085000000003</v>
      </c>
      <c r="Y90" s="16">
        <f t="shared" si="47"/>
        <v>3498207.3225</v>
      </c>
      <c r="Z90" s="16">
        <f t="shared" si="47"/>
        <v>3715624.8170999996</v>
      </c>
      <c r="AA90" s="16">
        <f t="shared" si="47"/>
        <v>2948155.41</v>
      </c>
      <c r="AB90" s="16">
        <f t="shared" si="47"/>
        <v>2480417.7476</v>
      </c>
      <c r="AC90" s="16">
        <f t="shared" si="47"/>
        <v>2218309.8296480007</v>
      </c>
      <c r="AD90" s="16">
        <f t="shared" si="47"/>
        <v>17688.99</v>
      </c>
      <c r="AE90" s="16">
        <f t="shared" si="47"/>
        <v>1225822.9095</v>
      </c>
      <c r="AF90" s="16">
        <f t="shared" si="47"/>
        <v>1091237.1264</v>
      </c>
      <c r="AG90" s="16">
        <f t="shared" si="47"/>
        <v>159259.6742</v>
      </c>
      <c r="AH90" s="16">
        <f t="shared" si="47"/>
        <v>1014397.5831</v>
      </c>
      <c r="AI90" s="16">
        <f aca="true" t="shared" si="48" ref="AI90:BI90">+AI76*AI17/100</f>
        <v>82189.041</v>
      </c>
      <c r="AJ90" s="16">
        <f t="shared" si="48"/>
        <v>73156.61</v>
      </c>
      <c r="AK90" s="16">
        <f t="shared" si="48"/>
        <v>1804408.6212</v>
      </c>
      <c r="AL90" s="16">
        <f t="shared" si="48"/>
        <v>0</v>
      </c>
      <c r="AM90" s="16">
        <f t="shared" si="48"/>
        <v>0</v>
      </c>
      <c r="AN90" s="16">
        <f t="shared" si="48"/>
        <v>130165.59330000001</v>
      </c>
      <c r="AO90" s="16">
        <f t="shared" si="48"/>
        <v>0</v>
      </c>
      <c r="AP90" s="16">
        <f t="shared" si="48"/>
        <v>103148.445</v>
      </c>
      <c r="AQ90" s="16">
        <f t="shared" si="48"/>
        <v>531846.9826</v>
      </c>
      <c r="AR90" s="16">
        <f t="shared" si="48"/>
        <v>83049.793</v>
      </c>
      <c r="AS90" s="16">
        <f t="shared" si="48"/>
        <v>480244.155</v>
      </c>
      <c r="AT90" s="16">
        <f t="shared" si="48"/>
        <v>9352.413999999999</v>
      </c>
      <c r="AU90" s="16">
        <f t="shared" si="48"/>
        <v>243479.24399999998</v>
      </c>
      <c r="AV90" s="16">
        <f t="shared" si="48"/>
        <v>27986.998287600003</v>
      </c>
      <c r="AW90" s="16">
        <f t="shared" si="48"/>
        <v>121743.82080000002</v>
      </c>
      <c r="AX90" s="16">
        <f t="shared" si="48"/>
        <v>185405.6</v>
      </c>
      <c r="AY90" s="16">
        <f t="shared" si="48"/>
        <v>217974.9564</v>
      </c>
      <c r="AZ90" s="16">
        <f t="shared" si="48"/>
        <v>11284.905999999999</v>
      </c>
      <c r="BA90" s="16">
        <f t="shared" si="48"/>
        <v>14311.848</v>
      </c>
      <c r="BB90" s="16">
        <f t="shared" si="48"/>
        <v>114541.308</v>
      </c>
      <c r="BC90" s="16">
        <f t="shared" si="48"/>
        <v>9333.56</v>
      </c>
      <c r="BD90" s="16">
        <f t="shared" si="48"/>
        <v>0</v>
      </c>
      <c r="BE90" s="16">
        <f t="shared" si="48"/>
        <v>0</v>
      </c>
      <c r="BF90" s="16">
        <f t="shared" si="48"/>
        <v>0</v>
      </c>
      <c r="BG90" s="16">
        <f t="shared" si="48"/>
        <v>0</v>
      </c>
      <c r="BH90" s="16">
        <f t="shared" si="48"/>
        <v>711.908</v>
      </c>
      <c r="BI90" s="16">
        <f t="shared" si="48"/>
        <v>0</v>
      </c>
      <c r="BJ90" s="82"/>
      <c r="BK90" s="30">
        <f>SUM(C90:BI90)</f>
        <v>139347167.8450356</v>
      </c>
      <c r="BL90" s="30"/>
      <c r="BM90" s="30">
        <f>+C90+E90+F90+AA90+AD90+AM90+AO90+AS90+AU90+AX90+AY90+BB90+BE90+BF90+BG90+BH90</f>
        <v>22891304.7394</v>
      </c>
      <c r="BN90" s="30">
        <f>+D90+G90+H90+I90+J90+K90+L90+M90+N90+O90+P90+Q90+R90+S90+T90+U90+V90+W90+X90+Y90+Z90+AB90+AC90+AE90+AF90+AG90+AH90+AI90+AJ90+AK90+AL90+AN90+AP90+AQ90+AR90+AT90+AV90+AW90+AZ90+BA90+BC90+BD90+BI90</f>
        <v>116455863.10563564</v>
      </c>
      <c r="BO90" s="76"/>
    </row>
    <row r="91" spans="1:67" ht="12.75">
      <c r="A91" s="30" t="str">
        <f>+A18</f>
        <v>          Samtals:                                        </v>
      </c>
      <c r="B91" s="101"/>
      <c r="C91" s="16">
        <f aca="true" t="shared" si="49" ref="C91:AH91">SUM(C89:C90)</f>
        <v>107994816</v>
      </c>
      <c r="D91" s="16">
        <f t="shared" si="49"/>
        <v>34743085.99999999</v>
      </c>
      <c r="E91" s="16">
        <f t="shared" si="49"/>
        <v>75164</v>
      </c>
      <c r="F91" s="16">
        <f t="shared" si="49"/>
        <v>0</v>
      </c>
      <c r="G91" s="16">
        <f t="shared" si="49"/>
        <v>117322208</v>
      </c>
      <c r="H91" s="16">
        <f t="shared" si="49"/>
        <v>61808022</v>
      </c>
      <c r="I91" s="16">
        <f t="shared" si="49"/>
        <v>55294879</v>
      </c>
      <c r="J91" s="16">
        <f t="shared" si="49"/>
        <v>50299022</v>
      </c>
      <c r="K91" s="16">
        <f t="shared" si="49"/>
        <v>0</v>
      </c>
      <c r="L91" s="16">
        <f t="shared" si="49"/>
        <v>30908803</v>
      </c>
      <c r="M91" s="16">
        <f t="shared" si="49"/>
        <v>27418190</v>
      </c>
      <c r="N91" s="16">
        <f t="shared" si="49"/>
        <v>4763587</v>
      </c>
      <c r="O91" s="16">
        <f t="shared" si="49"/>
        <v>3000397</v>
      </c>
      <c r="P91" s="16">
        <f t="shared" si="49"/>
        <v>22069437</v>
      </c>
      <c r="Q91" s="16">
        <f t="shared" si="49"/>
        <v>17718991</v>
      </c>
      <c r="R91" s="16">
        <f t="shared" si="49"/>
        <v>4409345</v>
      </c>
      <c r="S91" s="16">
        <f t="shared" si="49"/>
        <v>17381625</v>
      </c>
      <c r="T91" s="16">
        <f t="shared" si="49"/>
        <v>1499043.0000000002</v>
      </c>
      <c r="U91" s="16">
        <f t="shared" si="49"/>
        <v>15119036.999999998</v>
      </c>
      <c r="V91" s="16">
        <f t="shared" si="49"/>
        <v>15542831</v>
      </c>
      <c r="W91" s="16">
        <f t="shared" si="49"/>
        <v>14375271</v>
      </c>
      <c r="X91" s="16">
        <f t="shared" si="49"/>
        <v>204495</v>
      </c>
      <c r="Y91" s="16">
        <f t="shared" si="49"/>
        <v>14134171</v>
      </c>
      <c r="Z91" s="16">
        <f t="shared" si="49"/>
        <v>13303347</v>
      </c>
      <c r="AA91" s="16">
        <f t="shared" si="49"/>
        <v>12818067</v>
      </c>
      <c r="AB91" s="16">
        <f t="shared" si="49"/>
        <v>12635852</v>
      </c>
      <c r="AC91" s="16">
        <f t="shared" si="49"/>
        <v>12604033.123000003</v>
      </c>
      <c r="AD91" s="16">
        <f t="shared" si="49"/>
        <v>3537798</v>
      </c>
      <c r="AE91" s="16">
        <f t="shared" si="49"/>
        <v>9393279</v>
      </c>
      <c r="AF91" s="16">
        <f t="shared" si="49"/>
        <v>8915336</v>
      </c>
      <c r="AG91" s="16">
        <f t="shared" si="49"/>
        <v>723907.61</v>
      </c>
      <c r="AH91" s="16">
        <f t="shared" si="49"/>
        <v>6540281</v>
      </c>
      <c r="AI91" s="16">
        <f aca="true" t="shared" si="50" ref="AI91:BI91">SUM(AI89:AI90)</f>
        <v>529910</v>
      </c>
      <c r="AJ91" s="16">
        <f t="shared" si="50"/>
        <v>7315661</v>
      </c>
      <c r="AK91" s="16">
        <f t="shared" si="50"/>
        <v>6207116.000000001</v>
      </c>
      <c r="AL91" s="16">
        <f t="shared" si="50"/>
        <v>463482.867</v>
      </c>
      <c r="AM91" s="16">
        <f t="shared" si="50"/>
        <v>3239811</v>
      </c>
      <c r="AN91" s="16">
        <f t="shared" si="50"/>
        <v>2537341</v>
      </c>
      <c r="AO91" s="16">
        <f t="shared" si="50"/>
        <v>190154</v>
      </c>
      <c r="AP91" s="16">
        <f t="shared" si="50"/>
        <v>1452795</v>
      </c>
      <c r="AQ91" s="16">
        <f t="shared" si="50"/>
        <v>2240299</v>
      </c>
      <c r="AR91" s="16">
        <f t="shared" si="50"/>
        <v>2244589</v>
      </c>
      <c r="AS91" s="16">
        <f t="shared" si="50"/>
        <v>1574571</v>
      </c>
      <c r="AT91" s="16">
        <f t="shared" si="50"/>
        <v>108749.00000000001</v>
      </c>
      <c r="AU91" s="16">
        <f t="shared" si="50"/>
        <v>1415577</v>
      </c>
      <c r="AV91" s="16">
        <f t="shared" si="50"/>
        <v>1413484.7619999999</v>
      </c>
      <c r="AW91" s="16">
        <f t="shared" si="50"/>
        <v>1358748.0000000002</v>
      </c>
      <c r="AX91" s="16">
        <f t="shared" si="50"/>
        <v>1158785</v>
      </c>
      <c r="AY91" s="16">
        <f t="shared" si="50"/>
        <v>874348</v>
      </c>
      <c r="AZ91" s="16">
        <f t="shared" si="50"/>
        <v>663818</v>
      </c>
      <c r="BA91" s="16">
        <f t="shared" si="50"/>
        <v>596327</v>
      </c>
      <c r="BB91" s="16">
        <f t="shared" si="50"/>
        <v>481266.00000000006</v>
      </c>
      <c r="BC91" s="16">
        <f t="shared" si="50"/>
        <v>491240</v>
      </c>
      <c r="BD91" s="16">
        <f t="shared" si="50"/>
        <v>410997.25899999996</v>
      </c>
      <c r="BE91" s="16">
        <f t="shared" si="50"/>
        <v>358613</v>
      </c>
      <c r="BF91" s="16">
        <f t="shared" si="50"/>
        <v>192447</v>
      </c>
      <c r="BG91" s="16">
        <f t="shared" si="50"/>
        <v>54827</v>
      </c>
      <c r="BH91" s="16">
        <f t="shared" si="50"/>
        <v>16556</v>
      </c>
      <c r="BI91" s="16">
        <f t="shared" si="50"/>
        <v>0</v>
      </c>
      <c r="BJ91" s="82"/>
      <c r="BK91" s="30">
        <f>SUM(C91:BI91)</f>
        <v>734145833.6209999</v>
      </c>
      <c r="BL91" s="30"/>
      <c r="BM91" s="30">
        <f>+C91+E91+F91+AA91+AD91+AM91+AO91+AS91+AU91+AX91+AY91+BB91+BE91+BF91+BG91+BH91</f>
        <v>133982800</v>
      </c>
      <c r="BN91" s="30">
        <f>+D91+G91+H91+I91+J91+K91+L91+M91+N91+O91+P91+Q91+R91+S91+T91+U91+V91+W91+X91+Y91+Z91+AB91+AC91+AE91+AF91+AG91+AH91+AI91+AJ91+AK91+AL91+AN91+AP91+AQ91+AR91+AT91+AV91+AW91+AZ91+BA91+BC91+BD91+BI91</f>
        <v>600163033.6209999</v>
      </c>
      <c r="BO91" s="76"/>
    </row>
    <row r="92" spans="3:66" ht="12.75">
      <c r="C92" s="16"/>
      <c r="D92" s="16"/>
      <c r="E92" s="16"/>
      <c r="F92" s="16"/>
      <c r="G92" s="16"/>
      <c r="H92" s="16"/>
      <c r="I92" s="16"/>
      <c r="J92" s="16"/>
      <c r="K92" s="16"/>
      <c r="L92" s="30"/>
      <c r="M92" s="16"/>
      <c r="N92" s="16"/>
      <c r="O92" s="16"/>
      <c r="P92" s="16"/>
      <c r="Q92" s="30"/>
      <c r="R92" s="30"/>
      <c r="S92" s="30"/>
      <c r="T92" s="30"/>
      <c r="U92" s="16"/>
      <c r="V92" s="16"/>
      <c r="W92" s="16"/>
      <c r="X92" s="16"/>
      <c r="Y92" s="30"/>
      <c r="Z92" s="16"/>
      <c r="AA92" s="16"/>
      <c r="AB92" s="16"/>
      <c r="AC92" s="16"/>
      <c r="AD92" s="16"/>
      <c r="AE92" s="30"/>
      <c r="AF92" s="16"/>
      <c r="AG92" s="30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30"/>
      <c r="AT92" s="16"/>
      <c r="AU92" s="16"/>
      <c r="AV92" s="16"/>
      <c r="AW92" s="16"/>
      <c r="AX92" s="30"/>
      <c r="AY92" s="16"/>
      <c r="AZ92" s="16"/>
      <c r="BA92" s="16"/>
      <c r="BB92" s="16"/>
      <c r="BC92" s="16"/>
      <c r="BD92" s="16"/>
      <c r="BE92" s="16"/>
      <c r="BF92" s="16"/>
      <c r="BG92" s="16"/>
      <c r="BH92" s="30"/>
      <c r="BI92" s="30"/>
      <c r="BK92" s="30"/>
      <c r="BL92" s="30"/>
      <c r="BM92" s="30"/>
      <c r="BN92" s="30"/>
    </row>
  </sheetData>
  <sheetProtection/>
  <mergeCells count="28">
    <mergeCell ref="W1:X1"/>
    <mergeCell ref="AH1:AI1"/>
    <mergeCell ref="AN1:AO1"/>
    <mergeCell ref="Q2:R2"/>
    <mergeCell ref="W2:X2"/>
    <mergeCell ref="AH2:AI2"/>
    <mergeCell ref="AN2:AO2"/>
    <mergeCell ref="Q1:R1"/>
    <mergeCell ref="S1:T1"/>
    <mergeCell ref="AN3:AO3"/>
    <mergeCell ref="S4:T4"/>
    <mergeCell ref="W4:X4"/>
    <mergeCell ref="AH4:AI4"/>
    <mergeCell ref="AN4:AO4"/>
    <mergeCell ref="Q3:R3"/>
    <mergeCell ref="S3:T3"/>
    <mergeCell ref="W3:X3"/>
    <mergeCell ref="AH3:AI3"/>
    <mergeCell ref="C1:F1"/>
    <mergeCell ref="J1:K1"/>
    <mergeCell ref="S8:T8"/>
    <mergeCell ref="C2:F2"/>
    <mergeCell ref="J2:K2"/>
    <mergeCell ref="S2:T2"/>
    <mergeCell ref="C4:F4"/>
    <mergeCell ref="J4:K4"/>
    <mergeCell ref="Q4:R4"/>
    <mergeCell ref="J3:K3"/>
  </mergeCells>
  <printOptions/>
  <pageMargins left="0.4724409448818898" right="0.2362204724409449" top="1.1811023622047245" bottom="0.2755905511811024" header="0.5118110236220472" footer="0.1968503937007874"/>
  <pageSetup firstPageNumber="45" useFirstPageNumber="1" horizontalDpi="600" verticalDpi="600" orientation="portrait" paperSize="9" r:id="rId1"/>
  <headerFooter alignWithMargins="0">
    <oddHeader>&amp;C&amp;"Times New Roman,Bold"&amp;14 4.2. KENNITÖLUR SAMTRYGGINGARDEILDA ÁRIÐ 2003</oddHeader>
    <oddFooter>&amp;R&amp;"Times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J171"/>
  <sheetViews>
    <sheetView zoomScalePageLayoutView="0" workbookViewId="0" topLeftCell="A1">
      <pane xSplit="1" ySplit="6" topLeftCell="AN1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V144" sqref="AV144"/>
    </sheetView>
  </sheetViews>
  <sheetFormatPr defaultColWidth="9.140625" defaultRowHeight="11.25" customHeight="1" outlineLevelRow="1"/>
  <cols>
    <col min="1" max="1" width="30.7109375" style="205" customWidth="1"/>
    <col min="2" max="2" width="11.7109375" style="205" customWidth="1"/>
    <col min="3" max="3" width="9.7109375" style="205" customWidth="1"/>
    <col min="4" max="4" width="9.8515625" style="205" customWidth="1"/>
    <col min="5" max="5" width="9.421875" style="205" customWidth="1"/>
    <col min="6" max="7" width="11.140625" style="205" bestFit="1" customWidth="1"/>
    <col min="8" max="8" width="9.00390625" style="205" bestFit="1" customWidth="1"/>
    <col min="9" max="10" width="9.00390625" style="205" customWidth="1"/>
    <col min="11" max="11" width="10.7109375" style="205" bestFit="1" customWidth="1"/>
    <col min="12" max="12" width="8.8515625" style="205" customWidth="1"/>
    <col min="13" max="14" width="9.00390625" style="205" bestFit="1" customWidth="1"/>
    <col min="15" max="15" width="11.28125" style="205" customWidth="1"/>
    <col min="16" max="16" width="13.28125" style="205" customWidth="1"/>
    <col min="17" max="17" width="12.8515625" style="205" customWidth="1"/>
    <col min="18" max="18" width="11.57421875" style="205" customWidth="1"/>
    <col min="19" max="19" width="12.140625" style="205" customWidth="1"/>
    <col min="20" max="20" width="11.28125" style="205" customWidth="1"/>
    <col min="21" max="21" width="10.8515625" style="205" customWidth="1"/>
    <col min="22" max="22" width="9.8515625" style="205" customWidth="1"/>
    <col min="23" max="23" width="10.00390625" style="205" customWidth="1"/>
    <col min="24" max="24" width="9.28125" style="205" customWidth="1"/>
    <col min="25" max="25" width="10.7109375" style="205" customWidth="1"/>
    <col min="26" max="31" width="11.421875" style="205" customWidth="1"/>
    <col min="32" max="32" width="12.7109375" style="205" bestFit="1" customWidth="1"/>
    <col min="33" max="33" width="11.28125" style="205" customWidth="1"/>
    <col min="34" max="34" width="9.57421875" style="205" customWidth="1"/>
    <col min="35" max="35" width="10.140625" style="205" customWidth="1"/>
    <col min="36" max="37" width="10.57421875" style="205" customWidth="1"/>
    <col min="38" max="38" width="9.28125" style="205" customWidth="1"/>
    <col min="39" max="40" width="8.8515625" style="205" customWidth="1"/>
    <col min="41" max="41" width="7.57421875" style="205" customWidth="1"/>
    <col min="42" max="42" width="9.00390625" style="205" customWidth="1"/>
    <col min="43" max="43" width="9.421875" style="205" customWidth="1"/>
    <col min="44" max="44" width="7.00390625" style="205" customWidth="1"/>
    <col min="45" max="45" width="10.57421875" style="205" customWidth="1"/>
    <col min="46" max="46" width="12.28125" style="205" customWidth="1"/>
    <col min="47" max="47" width="3.00390625" style="205" customWidth="1"/>
    <col min="48" max="48" width="12.57421875" style="205" customWidth="1"/>
    <col min="49" max="49" width="12.421875" style="205" customWidth="1"/>
    <col min="50" max="50" width="2.57421875" style="205" customWidth="1"/>
    <col min="51" max="51" width="9.140625" style="205" customWidth="1"/>
    <col min="52" max="52" width="12.421875" style="205" bestFit="1" customWidth="1"/>
    <col min="53" max="16384" width="9.140625" style="205" customWidth="1"/>
  </cols>
  <sheetData>
    <row r="1" spans="1:50" ht="11.25" customHeight="1">
      <c r="A1" s="39"/>
      <c r="B1" s="369" t="s">
        <v>71</v>
      </c>
      <c r="C1" s="369"/>
      <c r="D1" s="369"/>
      <c r="E1" s="201" t="s">
        <v>71</v>
      </c>
      <c r="F1" s="369" t="s">
        <v>71</v>
      </c>
      <c r="G1" s="369"/>
      <c r="H1" s="369" t="s">
        <v>71</v>
      </c>
      <c r="I1" s="369" t="s">
        <v>71</v>
      </c>
      <c r="J1" s="369" t="s">
        <v>71</v>
      </c>
      <c r="K1" s="369" t="s">
        <v>72</v>
      </c>
      <c r="L1" s="369"/>
      <c r="M1" s="369" t="s">
        <v>71</v>
      </c>
      <c r="N1" s="369" t="s">
        <v>71</v>
      </c>
      <c r="O1" s="201" t="s">
        <v>73</v>
      </c>
      <c r="P1" s="374" t="s">
        <v>525</v>
      </c>
      <c r="Q1" s="374"/>
      <c r="R1" s="374"/>
      <c r="S1" s="374"/>
      <c r="T1" s="369" t="s">
        <v>75</v>
      </c>
      <c r="U1" s="369"/>
      <c r="V1" s="369"/>
      <c r="W1" s="369" t="s">
        <v>71</v>
      </c>
      <c r="X1" s="369"/>
      <c r="Y1" s="201" t="s">
        <v>74</v>
      </c>
      <c r="Z1" s="201" t="s">
        <v>71</v>
      </c>
      <c r="AA1" s="201" t="s">
        <v>71</v>
      </c>
      <c r="AB1" s="201" t="s">
        <v>71</v>
      </c>
      <c r="AC1" s="369" t="s">
        <v>71</v>
      </c>
      <c r="AD1" s="369"/>
      <c r="AE1" s="201" t="s">
        <v>71</v>
      </c>
      <c r="AF1" s="369" t="s">
        <v>78</v>
      </c>
      <c r="AG1" s="369"/>
      <c r="AH1" s="369"/>
      <c r="AI1" s="369" t="s">
        <v>71</v>
      </c>
      <c r="AJ1" s="369"/>
      <c r="AK1" s="369"/>
      <c r="AL1" s="369" t="s">
        <v>80</v>
      </c>
      <c r="AM1" s="369"/>
      <c r="AN1" s="369"/>
      <c r="AO1" s="369"/>
      <c r="AP1" s="201" t="s">
        <v>71</v>
      </c>
      <c r="AQ1" s="201" t="s">
        <v>71</v>
      </c>
      <c r="AR1" s="201"/>
      <c r="AS1" s="202" t="s">
        <v>449</v>
      </c>
      <c r="AT1" s="201"/>
      <c r="AU1" s="203"/>
      <c r="AV1" s="203"/>
      <c r="AW1" s="203"/>
      <c r="AX1" s="203"/>
    </row>
    <row r="2" spans="1:50" ht="11.25" customHeight="1">
      <c r="A2" s="206" t="s">
        <v>64</v>
      </c>
      <c r="B2" s="369" t="s">
        <v>83</v>
      </c>
      <c r="C2" s="369"/>
      <c r="D2" s="369"/>
      <c r="E2" s="201" t="s">
        <v>82</v>
      </c>
      <c r="F2" s="369" t="s">
        <v>84</v>
      </c>
      <c r="G2" s="369"/>
      <c r="H2" s="369" t="s">
        <v>86</v>
      </c>
      <c r="I2" s="369" t="s">
        <v>86</v>
      </c>
      <c r="J2" s="369" t="s">
        <v>86</v>
      </c>
      <c r="K2" s="369" t="s">
        <v>446</v>
      </c>
      <c r="L2" s="369" t="s">
        <v>85</v>
      </c>
      <c r="M2" s="369" t="s">
        <v>447</v>
      </c>
      <c r="N2" s="369" t="s">
        <v>87</v>
      </c>
      <c r="O2" s="201" t="s">
        <v>85</v>
      </c>
      <c r="P2" s="374" t="s">
        <v>97</v>
      </c>
      <c r="Q2" s="374"/>
      <c r="R2" s="374"/>
      <c r="S2" s="374"/>
      <c r="T2" s="369" t="s">
        <v>85</v>
      </c>
      <c r="U2" s="369" t="s">
        <v>85</v>
      </c>
      <c r="V2" s="369" t="s">
        <v>85</v>
      </c>
      <c r="W2" s="369" t="s">
        <v>89</v>
      </c>
      <c r="X2" s="369"/>
      <c r="Y2" s="201" t="s">
        <v>85</v>
      </c>
      <c r="Z2" s="201" t="s">
        <v>90</v>
      </c>
      <c r="AA2" s="201" t="s">
        <v>91</v>
      </c>
      <c r="AB2" s="201" t="s">
        <v>95</v>
      </c>
      <c r="AC2" s="369" t="s">
        <v>96</v>
      </c>
      <c r="AD2" s="369" t="s">
        <v>96</v>
      </c>
      <c r="AE2" s="201" t="s">
        <v>99</v>
      </c>
      <c r="AF2" s="369" t="s">
        <v>85</v>
      </c>
      <c r="AG2" s="369" t="s">
        <v>85</v>
      </c>
      <c r="AH2" s="369" t="s">
        <v>85</v>
      </c>
      <c r="AI2" s="369" t="s">
        <v>102</v>
      </c>
      <c r="AJ2" s="369" t="s">
        <v>102</v>
      </c>
      <c r="AK2" s="369" t="s">
        <v>102</v>
      </c>
      <c r="AL2" s="369" t="s">
        <v>85</v>
      </c>
      <c r="AM2" s="369" t="s">
        <v>85</v>
      </c>
      <c r="AN2" s="369" t="s">
        <v>85</v>
      </c>
      <c r="AO2" s="369" t="s">
        <v>85</v>
      </c>
      <c r="AP2" s="201" t="s">
        <v>107</v>
      </c>
      <c r="AQ2" s="201" t="s">
        <v>112</v>
      </c>
      <c r="AR2" s="201"/>
      <c r="AS2" s="202" t="s">
        <v>434</v>
      </c>
      <c r="AT2" s="201"/>
      <c r="AU2" s="203"/>
      <c r="AV2" s="203"/>
      <c r="AW2" s="203"/>
      <c r="AX2" s="203"/>
    </row>
    <row r="3" spans="1:50" ht="11.25" customHeight="1">
      <c r="A3" s="39"/>
      <c r="E3" s="201" t="s">
        <v>130</v>
      </c>
      <c r="K3" s="201"/>
      <c r="L3" s="201"/>
      <c r="M3" s="201"/>
      <c r="N3" s="201"/>
      <c r="O3" s="201" t="s">
        <v>129</v>
      </c>
      <c r="P3" s="84"/>
      <c r="Q3" s="84"/>
      <c r="R3" s="84"/>
      <c r="S3" s="84"/>
      <c r="T3" s="369" t="s">
        <v>101</v>
      </c>
      <c r="U3" s="369" t="s">
        <v>101</v>
      </c>
      <c r="V3" s="369" t="s">
        <v>101</v>
      </c>
      <c r="W3" s="369"/>
      <c r="X3" s="369"/>
      <c r="Y3" s="201" t="s">
        <v>101</v>
      </c>
      <c r="Z3" s="201" t="s">
        <v>128</v>
      </c>
      <c r="AA3" s="201" t="s">
        <v>131</v>
      </c>
      <c r="AB3" s="201" t="s">
        <v>133</v>
      </c>
      <c r="AC3" s="369" t="s">
        <v>403</v>
      </c>
      <c r="AD3" s="369" t="s">
        <v>403</v>
      </c>
      <c r="AE3" s="201" t="s">
        <v>402</v>
      </c>
      <c r="AF3" s="369" t="s">
        <v>101</v>
      </c>
      <c r="AG3" s="369" t="s">
        <v>101</v>
      </c>
      <c r="AH3" s="369" t="s">
        <v>101</v>
      </c>
      <c r="AI3" s="369" t="s">
        <v>144</v>
      </c>
      <c r="AJ3" s="369" t="s">
        <v>144</v>
      </c>
      <c r="AK3" s="369" t="s">
        <v>144</v>
      </c>
      <c r="AL3" s="369" t="s">
        <v>101</v>
      </c>
      <c r="AM3" s="369" t="s">
        <v>101</v>
      </c>
      <c r="AN3" s="369" t="s">
        <v>101</v>
      </c>
      <c r="AO3" s="369" t="s">
        <v>101</v>
      </c>
      <c r="AP3" s="201"/>
      <c r="AQ3" s="201" t="s">
        <v>148</v>
      </c>
      <c r="AR3" s="201"/>
      <c r="AT3" s="201"/>
      <c r="AU3" s="203"/>
      <c r="AV3" s="203"/>
      <c r="AW3" s="203"/>
      <c r="AX3" s="203"/>
    </row>
    <row r="4" spans="1:50" s="209" customFormat="1" ht="11.25" customHeight="1">
      <c r="A4" s="207"/>
      <c r="B4" s="371" t="s">
        <v>375</v>
      </c>
      <c r="C4" s="371"/>
      <c r="D4" s="371"/>
      <c r="E4" s="208" t="s">
        <v>161</v>
      </c>
      <c r="F4" s="371" t="s">
        <v>166</v>
      </c>
      <c r="G4" s="371"/>
      <c r="H4" s="371" t="s">
        <v>167</v>
      </c>
      <c r="I4" s="371" t="s">
        <v>167</v>
      </c>
      <c r="J4" s="371" t="s">
        <v>167</v>
      </c>
      <c r="K4" s="371" t="s">
        <v>170</v>
      </c>
      <c r="L4" s="371"/>
      <c r="M4" s="371" t="s">
        <v>171</v>
      </c>
      <c r="N4" s="371" t="s">
        <v>171</v>
      </c>
      <c r="O4" s="208" t="s">
        <v>172</v>
      </c>
      <c r="P4" s="377" t="s">
        <v>173</v>
      </c>
      <c r="Q4" s="377"/>
      <c r="R4" s="377"/>
      <c r="S4" s="377"/>
      <c r="T4" s="369" t="s">
        <v>174</v>
      </c>
      <c r="U4" s="369" t="s">
        <v>174</v>
      </c>
      <c r="V4" s="369" t="s">
        <v>174</v>
      </c>
      <c r="W4" s="369" t="s">
        <v>175</v>
      </c>
      <c r="X4" s="369" t="s">
        <v>175</v>
      </c>
      <c r="Y4" s="208" t="s">
        <v>177</v>
      </c>
      <c r="Z4" s="208" t="s">
        <v>178</v>
      </c>
      <c r="AA4" s="208" t="s">
        <v>180</v>
      </c>
      <c r="AB4" s="208" t="s">
        <v>181</v>
      </c>
      <c r="AC4" s="369" t="s">
        <v>184</v>
      </c>
      <c r="AD4" s="369" t="s">
        <v>184</v>
      </c>
      <c r="AE4" s="208" t="s">
        <v>187</v>
      </c>
      <c r="AF4" s="371" t="s">
        <v>188</v>
      </c>
      <c r="AG4" s="369" t="s">
        <v>189</v>
      </c>
      <c r="AH4" s="369" t="s">
        <v>189</v>
      </c>
      <c r="AI4" s="371" t="s">
        <v>189</v>
      </c>
      <c r="AJ4" s="369" t="s">
        <v>191</v>
      </c>
      <c r="AK4" s="369" t="s">
        <v>191</v>
      </c>
      <c r="AL4" s="369" t="s">
        <v>192</v>
      </c>
      <c r="AM4" s="369" t="s">
        <v>192</v>
      </c>
      <c r="AN4" s="369" t="s">
        <v>192</v>
      </c>
      <c r="AO4" s="369" t="s">
        <v>192</v>
      </c>
      <c r="AP4" s="208" t="s">
        <v>195</v>
      </c>
      <c r="AQ4" s="208" t="s">
        <v>201</v>
      </c>
      <c r="AR4" s="201"/>
      <c r="AT4" s="201"/>
      <c r="AU4" s="201"/>
      <c r="AV4" s="201"/>
      <c r="AW4" s="201"/>
      <c r="AX4" s="201"/>
    </row>
    <row r="5" spans="1:50" s="324" customFormat="1" ht="11.25" customHeight="1">
      <c r="A5" s="321"/>
      <c r="B5" s="321" t="s">
        <v>418</v>
      </c>
      <c r="C5" s="321" t="s">
        <v>419</v>
      </c>
      <c r="D5" s="321" t="s">
        <v>420</v>
      </c>
      <c r="E5" s="321"/>
      <c r="F5" s="321" t="s">
        <v>406</v>
      </c>
      <c r="G5" s="321" t="s">
        <v>407</v>
      </c>
      <c r="H5" s="321" t="s">
        <v>409</v>
      </c>
      <c r="I5" s="321" t="s">
        <v>410</v>
      </c>
      <c r="J5" s="321" t="s">
        <v>411</v>
      </c>
      <c r="K5" s="321" t="s">
        <v>376</v>
      </c>
      <c r="L5" s="321" t="s">
        <v>377</v>
      </c>
      <c r="M5" s="321" t="s">
        <v>379</v>
      </c>
      <c r="N5" s="321" t="s">
        <v>378</v>
      </c>
      <c r="O5" s="321"/>
      <c r="P5" s="321" t="s">
        <v>372</v>
      </c>
      <c r="Q5" s="321" t="s">
        <v>373</v>
      </c>
      <c r="R5" s="321" t="s">
        <v>374</v>
      </c>
      <c r="S5" s="321" t="s">
        <v>412</v>
      </c>
      <c r="T5" s="321" t="s">
        <v>409</v>
      </c>
      <c r="U5" s="321" t="s">
        <v>410</v>
      </c>
      <c r="V5" s="321" t="s">
        <v>411</v>
      </c>
      <c r="W5" s="321" t="s">
        <v>409</v>
      </c>
      <c r="X5" s="321" t="s">
        <v>410</v>
      </c>
      <c r="Y5" s="321"/>
      <c r="Z5" s="321"/>
      <c r="AA5" s="321"/>
      <c r="AB5" s="321"/>
      <c r="AC5" s="321" t="s">
        <v>379</v>
      </c>
      <c r="AD5" s="321" t="s">
        <v>378</v>
      </c>
      <c r="AE5" s="321"/>
      <c r="AF5" s="321" t="s">
        <v>361</v>
      </c>
      <c r="AG5" s="321" t="s">
        <v>362</v>
      </c>
      <c r="AH5" s="321" t="s">
        <v>363</v>
      </c>
      <c r="AI5" s="321" t="s">
        <v>413</v>
      </c>
      <c r="AJ5" s="321" t="s">
        <v>414</v>
      </c>
      <c r="AK5" s="321" t="s">
        <v>415</v>
      </c>
      <c r="AL5" s="321" t="s">
        <v>358</v>
      </c>
      <c r="AM5" s="321" t="s">
        <v>359</v>
      </c>
      <c r="AN5" s="321" t="s">
        <v>360</v>
      </c>
      <c r="AO5" s="321" t="s">
        <v>80</v>
      </c>
      <c r="AP5" s="321"/>
      <c r="AQ5" s="321"/>
      <c r="AR5" s="333"/>
      <c r="AS5" s="334" t="s">
        <v>520</v>
      </c>
      <c r="AT5" s="321"/>
      <c r="AU5" s="321"/>
      <c r="AV5" s="335"/>
      <c r="AW5" s="335"/>
      <c r="AX5" s="321"/>
    </row>
    <row r="6" spans="1:50" ht="11.25" customHeight="1">
      <c r="A6" s="212"/>
      <c r="E6" s="210"/>
      <c r="O6" s="210"/>
      <c r="Y6" s="210"/>
      <c r="Z6" s="210"/>
      <c r="AA6" s="210"/>
      <c r="AB6" s="210"/>
      <c r="AE6" s="210"/>
      <c r="AO6" s="213" t="s">
        <v>473</v>
      </c>
      <c r="AP6" s="210"/>
      <c r="AQ6" s="210"/>
      <c r="AR6" s="39"/>
      <c r="AT6" s="39"/>
      <c r="AU6" s="39"/>
      <c r="AV6" s="39"/>
      <c r="AW6" s="39"/>
      <c r="AX6" s="39"/>
    </row>
    <row r="7" spans="1:50" ht="16.5" customHeight="1">
      <c r="A7" s="241" t="s">
        <v>491</v>
      </c>
      <c r="E7" s="210"/>
      <c r="O7" s="210"/>
      <c r="Y7" s="210"/>
      <c r="Z7" s="210"/>
      <c r="AA7" s="210"/>
      <c r="AB7" s="210"/>
      <c r="AE7" s="210"/>
      <c r="AO7" s="213"/>
      <c r="AP7" s="210"/>
      <c r="AQ7" s="210"/>
      <c r="AR7" s="39"/>
      <c r="AT7" s="39"/>
      <c r="AU7" s="39"/>
      <c r="AV7" s="39"/>
      <c r="AW7" s="39"/>
      <c r="AX7" s="39"/>
    </row>
    <row r="8" spans="1:50" ht="16.5" customHeight="1">
      <c r="A8" s="241" t="s">
        <v>492</v>
      </c>
      <c r="E8" s="210"/>
      <c r="O8" s="210"/>
      <c r="Y8" s="210"/>
      <c r="Z8" s="210"/>
      <c r="AA8" s="210"/>
      <c r="AB8" s="210"/>
      <c r="AE8" s="210"/>
      <c r="AP8" s="210"/>
      <c r="AQ8" s="210"/>
      <c r="AR8" s="39"/>
      <c r="AT8" s="39"/>
      <c r="AU8" s="39"/>
      <c r="AV8" s="39"/>
      <c r="AW8" s="39"/>
      <c r="AX8" s="39"/>
    </row>
    <row r="9" spans="1:50" ht="11.25" customHeight="1" hidden="1" outlineLevel="1">
      <c r="A9" s="212" t="s">
        <v>273</v>
      </c>
      <c r="E9" s="210"/>
      <c r="O9" s="210"/>
      <c r="Y9" s="210"/>
      <c r="Z9" s="210"/>
      <c r="AA9" s="210"/>
      <c r="AB9" s="210"/>
      <c r="AE9" s="210"/>
      <c r="AP9" s="210"/>
      <c r="AQ9" s="210"/>
      <c r="AR9" s="39"/>
      <c r="AT9" s="39"/>
      <c r="AU9" s="39"/>
      <c r="AV9" s="39"/>
      <c r="AW9" s="39"/>
      <c r="AX9" s="39"/>
    </row>
    <row r="10" spans="1:53" ht="11.25" customHeight="1" hidden="1" outlineLevel="1">
      <c r="A10" s="214" t="s">
        <v>274</v>
      </c>
      <c r="B10" s="215">
        <v>298943</v>
      </c>
      <c r="C10" s="215">
        <v>71413</v>
      </c>
      <c r="D10" s="215">
        <v>34992</v>
      </c>
      <c r="E10" s="216">
        <v>202167</v>
      </c>
      <c r="F10" s="216">
        <v>30063</v>
      </c>
      <c r="G10" s="216">
        <v>27581</v>
      </c>
      <c r="H10" s="216">
        <v>18418</v>
      </c>
      <c r="I10" s="216">
        <v>1569</v>
      </c>
      <c r="J10" s="216">
        <v>2862</v>
      </c>
      <c r="K10" s="216">
        <v>28612</v>
      </c>
      <c r="L10" s="216">
        <v>143968</v>
      </c>
      <c r="M10" s="215">
        <v>16537</v>
      </c>
      <c r="N10" s="216">
        <v>53414</v>
      </c>
      <c r="O10" s="216">
        <v>13265</v>
      </c>
      <c r="P10" s="216">
        <v>376965</v>
      </c>
      <c r="Q10" s="216">
        <v>591962</v>
      </c>
      <c r="R10" s="216">
        <v>47645</v>
      </c>
      <c r="S10" s="216">
        <v>21619</v>
      </c>
      <c r="T10" s="215">
        <v>464067</v>
      </c>
      <c r="U10" s="215">
        <v>30832</v>
      </c>
      <c r="V10" s="215">
        <v>80917</v>
      </c>
      <c r="W10" s="216">
        <v>3179</v>
      </c>
      <c r="X10" s="216">
        <v>49153</v>
      </c>
      <c r="Y10" s="216">
        <v>46358</v>
      </c>
      <c r="Z10" s="216">
        <v>21063</v>
      </c>
      <c r="AA10" s="216">
        <v>15120</v>
      </c>
      <c r="AB10" s="216">
        <v>153574</v>
      </c>
      <c r="AC10" s="216">
        <v>2793</v>
      </c>
      <c r="AD10" s="216">
        <v>5140</v>
      </c>
      <c r="AE10" s="215">
        <v>1440</v>
      </c>
      <c r="AF10" s="216">
        <v>192781.488</v>
      </c>
      <c r="AG10" s="216">
        <v>183041.219</v>
      </c>
      <c r="AH10" s="216">
        <v>24988.46</v>
      </c>
      <c r="AI10" s="216">
        <v>43850</v>
      </c>
      <c r="AJ10" s="216">
        <v>6058</v>
      </c>
      <c r="AK10" s="216">
        <v>6509</v>
      </c>
      <c r="AL10" s="216">
        <v>61624.236</v>
      </c>
      <c r="AM10" s="216">
        <v>314494.761</v>
      </c>
      <c r="AN10" s="216">
        <v>198210.051</v>
      </c>
      <c r="AO10" s="216">
        <v>7698.72</v>
      </c>
      <c r="AP10" s="216">
        <v>0</v>
      </c>
      <c r="AQ10" s="215">
        <v>21076</v>
      </c>
      <c r="AR10" s="216"/>
      <c r="AS10" s="205">
        <f>SUM(B10:AQ10)</f>
        <v>3915962.935</v>
      </c>
      <c r="AT10" s="39"/>
      <c r="AU10" s="39"/>
      <c r="AV10" s="39"/>
      <c r="AW10" s="39"/>
      <c r="AX10" s="216"/>
      <c r="BA10" s="39"/>
    </row>
    <row r="11" spans="1:53" ht="11.25" customHeight="1" hidden="1" outlineLevel="1">
      <c r="A11" s="214" t="s">
        <v>275</v>
      </c>
      <c r="B11" s="215">
        <v>183597</v>
      </c>
      <c r="C11" s="215">
        <v>40509</v>
      </c>
      <c r="D11" s="215">
        <v>20168.5</v>
      </c>
      <c r="E11" s="215">
        <v>455678</v>
      </c>
      <c r="F11" s="215">
        <v>21276</v>
      </c>
      <c r="G11" s="215">
        <v>207751</v>
      </c>
      <c r="H11" s="215">
        <v>25915</v>
      </c>
      <c r="I11" s="215">
        <v>2494</v>
      </c>
      <c r="J11" s="215">
        <v>1097</v>
      </c>
      <c r="K11" s="215">
        <v>25066</v>
      </c>
      <c r="L11" s="215">
        <v>181822</v>
      </c>
      <c r="M11" s="215">
        <v>21983</v>
      </c>
      <c r="N11" s="215">
        <v>84837</v>
      </c>
      <c r="O11" s="215">
        <v>32522</v>
      </c>
      <c r="P11" s="216">
        <v>408312</v>
      </c>
      <c r="Q11" s="216">
        <v>735747</v>
      </c>
      <c r="R11" s="216">
        <v>41800</v>
      </c>
      <c r="S11" s="216">
        <v>34063</v>
      </c>
      <c r="T11" s="215">
        <f>546681</f>
        <v>546681</v>
      </c>
      <c r="U11" s="215">
        <v>36565</v>
      </c>
      <c r="V11" s="215">
        <v>102398</v>
      </c>
      <c r="W11" s="215">
        <v>3153</v>
      </c>
      <c r="X11" s="215">
        <v>90231</v>
      </c>
      <c r="Y11" s="215">
        <v>76597</v>
      </c>
      <c r="Z11" s="215">
        <v>0</v>
      </c>
      <c r="AA11" s="215">
        <v>26350</v>
      </c>
      <c r="AB11" s="215">
        <v>0</v>
      </c>
      <c r="AC11" s="215">
        <v>3575</v>
      </c>
      <c r="AD11" s="215">
        <v>12311</v>
      </c>
      <c r="AE11" s="215">
        <v>19684</v>
      </c>
      <c r="AF11" s="215">
        <v>288732.749</v>
      </c>
      <c r="AG11" s="215">
        <v>249205.795</v>
      </c>
      <c r="AH11" s="215">
        <v>28925.672</v>
      </c>
      <c r="AI11" s="215">
        <v>7981</v>
      </c>
      <c r="AJ11" s="215">
        <v>1269</v>
      </c>
      <c r="AK11" s="215">
        <v>853</v>
      </c>
      <c r="AL11" s="216">
        <v>39517.197</v>
      </c>
      <c r="AM11" s="216">
        <v>260248.457</v>
      </c>
      <c r="AN11" s="216">
        <v>197506.844</v>
      </c>
      <c r="AO11" s="216">
        <v>40274.359</v>
      </c>
      <c r="AP11" s="215">
        <v>5159</v>
      </c>
      <c r="AQ11" s="215">
        <v>27036</v>
      </c>
      <c r="AR11" s="216"/>
      <c r="AS11" s="205">
        <f aca="true" t="shared" si="0" ref="AS11:AS66">SUM(B11:AQ11)</f>
        <v>4588891.573</v>
      </c>
      <c r="AT11" s="39"/>
      <c r="AU11" s="39"/>
      <c r="AV11" s="39"/>
      <c r="AW11" s="39"/>
      <c r="AX11" s="216"/>
      <c r="AZ11" s="39"/>
      <c r="BA11" s="39"/>
    </row>
    <row r="12" spans="1:50" ht="11.25" customHeight="1" hidden="1" outlineLevel="1">
      <c r="A12" s="214" t="s">
        <v>276</v>
      </c>
      <c r="B12" s="215">
        <v>-164572</v>
      </c>
      <c r="C12" s="215">
        <v>71648</v>
      </c>
      <c r="D12" s="215">
        <v>66411.4</v>
      </c>
      <c r="E12" s="215">
        <v>0</v>
      </c>
      <c r="F12" s="215">
        <v>-10541</v>
      </c>
      <c r="G12" s="215">
        <v>7088</v>
      </c>
      <c r="H12" s="215">
        <v>-6491</v>
      </c>
      <c r="I12" s="215">
        <v>-2003</v>
      </c>
      <c r="J12" s="215">
        <v>4659</v>
      </c>
      <c r="K12" s="215">
        <v>-4682</v>
      </c>
      <c r="L12" s="215">
        <v>49339</v>
      </c>
      <c r="M12" s="215">
        <v>413</v>
      </c>
      <c r="N12" s="215">
        <v>-6035</v>
      </c>
      <c r="O12" s="215">
        <v>0</v>
      </c>
      <c r="P12" s="216">
        <v>966</v>
      </c>
      <c r="Q12" s="216">
        <v>-724977</v>
      </c>
      <c r="R12" s="216">
        <v>398870</v>
      </c>
      <c r="S12" s="216">
        <v>419739</v>
      </c>
      <c r="T12" s="215">
        <v>-561600</v>
      </c>
      <c r="U12" s="215">
        <v>136851</v>
      </c>
      <c r="V12" s="215">
        <v>1084419</v>
      </c>
      <c r="W12" s="215">
        <v>-9197</v>
      </c>
      <c r="X12" s="215">
        <v>2944</v>
      </c>
      <c r="Y12" s="215">
        <v>0</v>
      </c>
      <c r="Z12" s="215">
        <v>-2</v>
      </c>
      <c r="AA12" s="215">
        <v>0</v>
      </c>
      <c r="AB12" s="215">
        <v>0</v>
      </c>
      <c r="AC12" s="215">
        <v>207</v>
      </c>
      <c r="AD12" s="215">
        <v>-829</v>
      </c>
      <c r="AE12" s="215">
        <v>-470</v>
      </c>
      <c r="AF12" s="215">
        <f>-464830.059-32543.887</f>
        <v>-497373.946</v>
      </c>
      <c r="AG12" s="215">
        <f>290908.87-230053.282</f>
        <v>60855.58799999999</v>
      </c>
      <c r="AH12" s="215">
        <f>173921.19-15245.418</f>
        <v>158675.772</v>
      </c>
      <c r="AI12" s="215">
        <v>-20603</v>
      </c>
      <c r="AJ12" s="215">
        <v>5589</v>
      </c>
      <c r="AK12" s="215">
        <v>4227</v>
      </c>
      <c r="AL12" s="216">
        <v>-80008.608</v>
      </c>
      <c r="AM12" s="216">
        <v>-128525.386</v>
      </c>
      <c r="AN12" s="216">
        <v>-109592.196</v>
      </c>
      <c r="AO12" s="216">
        <v>240096.661</v>
      </c>
      <c r="AP12" s="216">
        <v>0</v>
      </c>
      <c r="AQ12" s="216">
        <v>0</v>
      </c>
      <c r="AR12" s="216"/>
      <c r="AS12" s="205">
        <f t="shared" si="0"/>
        <v>385496.28500000003</v>
      </c>
      <c r="AT12" s="39"/>
      <c r="AU12" s="39"/>
      <c r="AV12" s="39"/>
      <c r="AW12" s="39"/>
      <c r="AX12" s="216"/>
    </row>
    <row r="13" spans="1:50" ht="11.25" customHeight="1" hidden="1" outlineLevel="1">
      <c r="A13" s="214" t="s">
        <v>277</v>
      </c>
      <c r="B13" s="215">
        <v>0</v>
      </c>
      <c r="C13" s="215">
        <v>0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6">
        <v>0</v>
      </c>
      <c r="Q13" s="216">
        <v>0</v>
      </c>
      <c r="R13" s="216">
        <v>0</v>
      </c>
      <c r="S13" s="216">
        <v>0</v>
      </c>
      <c r="T13" s="216">
        <v>0</v>
      </c>
      <c r="U13" s="216">
        <v>0</v>
      </c>
      <c r="V13" s="216">
        <v>0</v>
      </c>
      <c r="W13" s="216">
        <v>0</v>
      </c>
      <c r="X13" s="216">
        <v>0</v>
      </c>
      <c r="Y13" s="205">
        <v>0</v>
      </c>
      <c r="Z13" s="205">
        <v>0</v>
      </c>
      <c r="AA13" s="205">
        <v>0</v>
      </c>
      <c r="AB13" s="205">
        <v>0</v>
      </c>
      <c r="AC13" s="205">
        <v>0</v>
      </c>
      <c r="AD13" s="205">
        <v>0</v>
      </c>
      <c r="AE13" s="205">
        <v>0</v>
      </c>
      <c r="AF13" s="205">
        <v>0</v>
      </c>
      <c r="AG13" s="205">
        <v>0</v>
      </c>
      <c r="AH13" s="205">
        <v>0</v>
      </c>
      <c r="AI13" s="215">
        <v>0</v>
      </c>
      <c r="AJ13" s="215">
        <v>0</v>
      </c>
      <c r="AK13" s="215">
        <v>0</v>
      </c>
      <c r="AL13" s="216">
        <v>0</v>
      </c>
      <c r="AM13" s="216">
        <v>0</v>
      </c>
      <c r="AN13" s="216">
        <v>0</v>
      </c>
      <c r="AO13" s="216">
        <v>0</v>
      </c>
      <c r="AP13" s="216">
        <v>0</v>
      </c>
      <c r="AQ13" s="216">
        <v>0</v>
      </c>
      <c r="AR13" s="216"/>
      <c r="AS13" s="205">
        <f t="shared" si="0"/>
        <v>0</v>
      </c>
      <c r="AT13" s="39"/>
      <c r="AU13" s="39"/>
      <c r="AV13" s="39"/>
      <c r="AW13" s="39"/>
      <c r="AX13" s="216"/>
    </row>
    <row r="14" spans="1:50" ht="11.25" customHeight="1" collapsed="1">
      <c r="A14" s="219" t="s">
        <v>426</v>
      </c>
      <c r="B14" s="39">
        <f aca="true" t="shared" si="1" ref="B14:AQ14">SUM(B10:B13)</f>
        <v>317968</v>
      </c>
      <c r="C14" s="39">
        <f t="shared" si="1"/>
        <v>183570</v>
      </c>
      <c r="D14" s="39">
        <f t="shared" si="1"/>
        <v>121571.9</v>
      </c>
      <c r="E14" s="39">
        <f t="shared" si="1"/>
        <v>657845</v>
      </c>
      <c r="F14" s="39">
        <f t="shared" si="1"/>
        <v>40798</v>
      </c>
      <c r="G14" s="39">
        <f t="shared" si="1"/>
        <v>242420</v>
      </c>
      <c r="H14" s="39">
        <f t="shared" si="1"/>
        <v>37842</v>
      </c>
      <c r="I14" s="39">
        <f t="shared" si="1"/>
        <v>2060</v>
      </c>
      <c r="J14" s="39">
        <f t="shared" si="1"/>
        <v>8618</v>
      </c>
      <c r="K14" s="39">
        <f t="shared" si="1"/>
        <v>48996</v>
      </c>
      <c r="L14" s="39">
        <f t="shared" si="1"/>
        <v>375129</v>
      </c>
      <c r="M14" s="39">
        <f t="shared" si="1"/>
        <v>38933</v>
      </c>
      <c r="N14" s="39">
        <f t="shared" si="1"/>
        <v>132216</v>
      </c>
      <c r="O14" s="39">
        <f t="shared" si="1"/>
        <v>45787</v>
      </c>
      <c r="P14" s="39">
        <f t="shared" si="1"/>
        <v>786243</v>
      </c>
      <c r="Q14" s="39">
        <f t="shared" si="1"/>
        <v>602732</v>
      </c>
      <c r="R14" s="39">
        <f t="shared" si="1"/>
        <v>488315</v>
      </c>
      <c r="S14" s="39">
        <f t="shared" si="1"/>
        <v>475421</v>
      </c>
      <c r="T14" s="39">
        <f t="shared" si="1"/>
        <v>449148</v>
      </c>
      <c r="U14" s="39">
        <f t="shared" si="1"/>
        <v>204248</v>
      </c>
      <c r="V14" s="39">
        <f t="shared" si="1"/>
        <v>1267734</v>
      </c>
      <c r="W14" s="39">
        <f t="shared" si="1"/>
        <v>-2865</v>
      </c>
      <c r="X14" s="39">
        <f t="shared" si="1"/>
        <v>142328</v>
      </c>
      <c r="Y14" s="39">
        <f t="shared" si="1"/>
        <v>122955</v>
      </c>
      <c r="Z14" s="39">
        <f t="shared" si="1"/>
        <v>21061</v>
      </c>
      <c r="AA14" s="39">
        <f t="shared" si="1"/>
        <v>41470</v>
      </c>
      <c r="AB14" s="39">
        <f t="shared" si="1"/>
        <v>153574</v>
      </c>
      <c r="AC14" s="39">
        <f t="shared" si="1"/>
        <v>6575</v>
      </c>
      <c r="AD14" s="39">
        <f t="shared" si="1"/>
        <v>16622</v>
      </c>
      <c r="AE14" s="39">
        <f t="shared" si="1"/>
        <v>20654</v>
      </c>
      <c r="AF14" s="39">
        <f t="shared" si="1"/>
        <v>-15859.708999999973</v>
      </c>
      <c r="AG14" s="39">
        <f t="shared" si="1"/>
        <v>493102.602</v>
      </c>
      <c r="AH14" s="39">
        <f t="shared" si="1"/>
        <v>212589.90399999998</v>
      </c>
      <c r="AI14" s="39">
        <f t="shared" si="1"/>
        <v>31228</v>
      </c>
      <c r="AJ14" s="39">
        <f t="shared" si="1"/>
        <v>12916</v>
      </c>
      <c r="AK14" s="39">
        <f t="shared" si="1"/>
        <v>11589</v>
      </c>
      <c r="AL14" s="39">
        <f t="shared" si="1"/>
        <v>21132.824999999997</v>
      </c>
      <c r="AM14" s="39">
        <f t="shared" si="1"/>
        <v>446217.832</v>
      </c>
      <c r="AN14" s="39">
        <f t="shared" si="1"/>
        <v>286124.699</v>
      </c>
      <c r="AO14" s="39">
        <f t="shared" si="1"/>
        <v>288069.74</v>
      </c>
      <c r="AP14" s="39">
        <f t="shared" si="1"/>
        <v>5159</v>
      </c>
      <c r="AQ14" s="39">
        <f t="shared" si="1"/>
        <v>48112</v>
      </c>
      <c r="AR14" s="39"/>
      <c r="AS14" s="205">
        <f t="shared" si="0"/>
        <v>8890350.793000001</v>
      </c>
      <c r="AT14" s="39"/>
      <c r="AU14" s="39"/>
      <c r="AV14" s="39"/>
      <c r="AW14" s="39"/>
      <c r="AX14" s="39"/>
    </row>
    <row r="15" spans="1:49" ht="11.25" customHeight="1">
      <c r="A15" s="219"/>
      <c r="B15" s="217"/>
      <c r="C15" s="217"/>
      <c r="D15" s="215"/>
      <c r="E15" s="218"/>
      <c r="F15" s="218"/>
      <c r="G15" s="218"/>
      <c r="H15" s="218"/>
      <c r="I15" s="218"/>
      <c r="J15" s="218"/>
      <c r="K15" s="218"/>
      <c r="L15" s="218"/>
      <c r="M15" s="39"/>
      <c r="N15" s="39"/>
      <c r="O15" s="218"/>
      <c r="P15" s="216"/>
      <c r="Q15" s="216"/>
      <c r="R15" s="216"/>
      <c r="S15" s="216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P15" s="218"/>
      <c r="AQ15" s="218"/>
      <c r="AT15" s="39"/>
      <c r="AU15" s="39"/>
      <c r="AV15" s="39"/>
      <c r="AW15" s="39"/>
    </row>
    <row r="16" spans="1:49" ht="11.25" customHeight="1" hidden="1" outlineLevel="1">
      <c r="A16" s="219" t="s">
        <v>279</v>
      </c>
      <c r="B16" s="217"/>
      <c r="C16" s="217"/>
      <c r="D16" s="215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6"/>
      <c r="Q16" s="216"/>
      <c r="R16" s="216"/>
      <c r="S16" s="216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P16" s="218"/>
      <c r="AQ16" s="218"/>
      <c r="AT16" s="39"/>
      <c r="AU16" s="39"/>
      <c r="AV16" s="39"/>
      <c r="AW16" s="39"/>
    </row>
    <row r="17" spans="1:50" ht="11.25" customHeight="1" hidden="1" outlineLevel="1">
      <c r="A17" s="220" t="s">
        <v>280</v>
      </c>
      <c r="B17" s="215">
        <v>10688</v>
      </c>
      <c r="C17" s="215">
        <v>2381</v>
      </c>
      <c r="D17" s="215">
        <v>4702</v>
      </c>
      <c r="E17" s="215">
        <v>16804</v>
      </c>
      <c r="F17" s="215">
        <v>1397</v>
      </c>
      <c r="G17" s="215">
        <v>2365</v>
      </c>
      <c r="H17" s="215">
        <v>622</v>
      </c>
      <c r="I17" s="215">
        <v>7</v>
      </c>
      <c r="J17" s="215">
        <v>0</v>
      </c>
      <c r="K17" s="215">
        <v>573</v>
      </c>
      <c r="L17" s="215">
        <v>8169</v>
      </c>
      <c r="M17" s="215">
        <v>5162</v>
      </c>
      <c r="N17" s="215">
        <v>1104</v>
      </c>
      <c r="O17" s="215">
        <v>758</v>
      </c>
      <c r="P17" s="216">
        <v>4738</v>
      </c>
      <c r="Q17" s="216">
        <v>92608</v>
      </c>
      <c r="R17" s="216">
        <v>50829</v>
      </c>
      <c r="S17" s="216">
        <v>25550</v>
      </c>
      <c r="T17" s="215">
        <v>156622</v>
      </c>
      <c r="U17" s="215">
        <v>11904</v>
      </c>
      <c r="V17" s="215">
        <v>123386</v>
      </c>
      <c r="W17" s="215">
        <v>0</v>
      </c>
      <c r="X17" s="215">
        <v>0</v>
      </c>
      <c r="Y17" s="215">
        <v>23705</v>
      </c>
      <c r="Z17" s="215">
        <v>0</v>
      </c>
      <c r="AA17" s="215">
        <v>1890</v>
      </c>
      <c r="AB17" s="215">
        <v>2004</v>
      </c>
      <c r="AC17" s="215">
        <v>0</v>
      </c>
      <c r="AD17" s="215">
        <v>0</v>
      </c>
      <c r="AE17" s="215">
        <v>0</v>
      </c>
      <c r="AF17" s="215">
        <v>4393.854</v>
      </c>
      <c r="AG17" s="215">
        <v>16059.762</v>
      </c>
      <c r="AH17" s="215">
        <v>65915.121</v>
      </c>
      <c r="AI17" s="215">
        <v>3686</v>
      </c>
      <c r="AJ17" s="215">
        <v>324</v>
      </c>
      <c r="AK17" s="215">
        <v>956</v>
      </c>
      <c r="AL17" s="216">
        <v>23021.711</v>
      </c>
      <c r="AM17" s="216">
        <v>3834.842</v>
      </c>
      <c r="AN17" s="216">
        <v>581.969</v>
      </c>
      <c r="AO17" s="216">
        <v>13386.504</v>
      </c>
      <c r="AP17" s="215">
        <v>0</v>
      </c>
      <c r="AQ17" s="215">
        <v>32995</v>
      </c>
      <c r="AR17" s="216"/>
      <c r="AS17" s="205">
        <f t="shared" si="0"/>
        <v>713122.763</v>
      </c>
      <c r="AT17" s="39"/>
      <c r="AU17" s="39"/>
      <c r="AV17" s="39"/>
      <c r="AW17" s="39"/>
      <c r="AX17" s="216"/>
    </row>
    <row r="18" spans="1:50" ht="11.25" customHeight="1" hidden="1" outlineLevel="1">
      <c r="A18" s="220" t="s">
        <v>281</v>
      </c>
      <c r="B18" s="215">
        <v>0</v>
      </c>
      <c r="C18" s="215">
        <v>0</v>
      </c>
      <c r="D18" s="215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216">
        <v>0</v>
      </c>
      <c r="V18" s="216">
        <v>0</v>
      </c>
      <c r="W18" s="216">
        <v>0</v>
      </c>
      <c r="X18" s="216">
        <v>0</v>
      </c>
      <c r="Y18" s="215">
        <v>0</v>
      </c>
      <c r="Z18" s="215">
        <v>0</v>
      </c>
      <c r="AA18" s="215">
        <v>0</v>
      </c>
      <c r="AB18" s="215">
        <v>0</v>
      </c>
      <c r="AC18" s="215">
        <v>0</v>
      </c>
      <c r="AD18" s="215">
        <v>0</v>
      </c>
      <c r="AE18" s="215">
        <v>0</v>
      </c>
      <c r="AF18" s="215">
        <v>0</v>
      </c>
      <c r="AG18" s="215">
        <v>0</v>
      </c>
      <c r="AH18" s="215">
        <v>0</v>
      </c>
      <c r="AI18" s="215">
        <v>0</v>
      </c>
      <c r="AJ18" s="215">
        <v>0</v>
      </c>
      <c r="AK18" s="215">
        <v>0</v>
      </c>
      <c r="AL18" s="216">
        <v>0</v>
      </c>
      <c r="AM18" s="216">
        <v>0</v>
      </c>
      <c r="AN18" s="216">
        <v>0</v>
      </c>
      <c r="AO18" s="216">
        <v>0</v>
      </c>
      <c r="AP18" s="216">
        <v>0</v>
      </c>
      <c r="AQ18" s="216">
        <v>0</v>
      </c>
      <c r="AR18" s="216"/>
      <c r="AS18" s="205">
        <f t="shared" si="0"/>
        <v>0</v>
      </c>
      <c r="AT18" s="39"/>
      <c r="AU18" s="39"/>
      <c r="AV18" s="39"/>
      <c r="AW18" s="39"/>
      <c r="AX18" s="216"/>
    </row>
    <row r="19" spans="1:50" ht="11.25" customHeight="1" hidden="1" outlineLevel="1">
      <c r="A19" s="220" t="s">
        <v>282</v>
      </c>
      <c r="B19" s="215">
        <v>0</v>
      </c>
      <c r="C19" s="215">
        <v>0</v>
      </c>
      <c r="D19" s="215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216">
        <v>0</v>
      </c>
      <c r="Q19" s="216">
        <v>0</v>
      </c>
      <c r="R19" s="216">
        <v>0</v>
      </c>
      <c r="S19" s="216">
        <v>0</v>
      </c>
      <c r="T19" s="216">
        <v>0</v>
      </c>
      <c r="U19" s="216">
        <v>0</v>
      </c>
      <c r="V19" s="216">
        <v>0</v>
      </c>
      <c r="W19" s="216">
        <v>0</v>
      </c>
      <c r="X19" s="216">
        <v>0</v>
      </c>
      <c r="Y19" s="215">
        <v>0</v>
      </c>
      <c r="Z19" s="215">
        <v>0</v>
      </c>
      <c r="AA19" s="215">
        <v>0</v>
      </c>
      <c r="AB19" s="215">
        <v>0</v>
      </c>
      <c r="AC19" s="215">
        <v>0</v>
      </c>
      <c r="AD19" s="215">
        <v>0</v>
      </c>
      <c r="AE19" s="215">
        <v>0</v>
      </c>
      <c r="AF19" s="215">
        <v>0</v>
      </c>
      <c r="AG19" s="215">
        <v>0</v>
      </c>
      <c r="AH19" s="215">
        <v>0</v>
      </c>
      <c r="AI19" s="215">
        <v>0</v>
      </c>
      <c r="AJ19" s="215">
        <v>0</v>
      </c>
      <c r="AK19" s="215">
        <v>0</v>
      </c>
      <c r="AL19" s="216">
        <v>0</v>
      </c>
      <c r="AM19" s="216">
        <v>0</v>
      </c>
      <c r="AN19" s="216">
        <v>0</v>
      </c>
      <c r="AO19" s="216">
        <v>0</v>
      </c>
      <c r="AP19" s="216">
        <v>0</v>
      </c>
      <c r="AQ19" s="216">
        <v>0</v>
      </c>
      <c r="AR19" s="216"/>
      <c r="AS19" s="205">
        <f t="shared" si="0"/>
        <v>0</v>
      </c>
      <c r="AT19" s="39"/>
      <c r="AU19" s="39"/>
      <c r="AV19" s="39"/>
      <c r="AW19" s="39"/>
      <c r="AX19" s="216"/>
    </row>
    <row r="20" spans="1:50" ht="11.25" customHeight="1" hidden="1" outlineLevel="1">
      <c r="A20" s="220" t="s">
        <v>283</v>
      </c>
      <c r="B20" s="215">
        <v>0</v>
      </c>
      <c r="C20" s="215">
        <v>0</v>
      </c>
      <c r="D20" s="215">
        <v>0</v>
      </c>
      <c r="E20" s="215">
        <v>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216">
        <v>0</v>
      </c>
      <c r="Q20" s="216">
        <v>0</v>
      </c>
      <c r="R20" s="216">
        <v>0</v>
      </c>
      <c r="S20" s="216">
        <v>0</v>
      </c>
      <c r="T20" s="216">
        <v>0</v>
      </c>
      <c r="U20" s="216">
        <v>0</v>
      </c>
      <c r="V20" s="216">
        <v>0</v>
      </c>
      <c r="W20" s="216">
        <v>0</v>
      </c>
      <c r="X20" s="216">
        <v>0</v>
      </c>
      <c r="Y20" s="215">
        <v>0</v>
      </c>
      <c r="Z20" s="215">
        <v>0</v>
      </c>
      <c r="AA20" s="215">
        <v>0</v>
      </c>
      <c r="AB20" s="215">
        <v>0</v>
      </c>
      <c r="AC20" s="215">
        <v>0</v>
      </c>
      <c r="AD20" s="215">
        <v>0</v>
      </c>
      <c r="AE20" s="215">
        <v>0</v>
      </c>
      <c r="AF20" s="215">
        <v>0</v>
      </c>
      <c r="AG20" s="215">
        <v>0</v>
      </c>
      <c r="AH20" s="215">
        <v>0</v>
      </c>
      <c r="AI20" s="215">
        <v>0</v>
      </c>
      <c r="AJ20" s="215">
        <v>0</v>
      </c>
      <c r="AK20" s="215">
        <v>0</v>
      </c>
      <c r="AL20" s="216">
        <v>0</v>
      </c>
      <c r="AM20" s="216">
        <v>277.552</v>
      </c>
      <c r="AN20" s="216">
        <v>52.129</v>
      </c>
      <c r="AO20" s="216">
        <v>0</v>
      </c>
      <c r="AP20" s="216">
        <v>0</v>
      </c>
      <c r="AQ20" s="216">
        <v>0</v>
      </c>
      <c r="AR20" s="216"/>
      <c r="AS20" s="205">
        <f t="shared" si="0"/>
        <v>329.68100000000004</v>
      </c>
      <c r="AT20" s="39"/>
      <c r="AU20" s="39"/>
      <c r="AV20" s="39"/>
      <c r="AW20" s="39"/>
      <c r="AX20" s="216"/>
    </row>
    <row r="21" spans="1:50" ht="11.25" customHeight="1" collapsed="1">
      <c r="A21" s="219" t="s">
        <v>427</v>
      </c>
      <c r="B21" s="39">
        <f aca="true" t="shared" si="2" ref="B21:AQ21">SUM(B17:B20)</f>
        <v>10688</v>
      </c>
      <c r="C21" s="39">
        <f t="shared" si="2"/>
        <v>2381</v>
      </c>
      <c r="D21" s="39">
        <f t="shared" si="2"/>
        <v>4702</v>
      </c>
      <c r="E21" s="39">
        <f t="shared" si="2"/>
        <v>16804</v>
      </c>
      <c r="F21" s="39">
        <f t="shared" si="2"/>
        <v>1397</v>
      </c>
      <c r="G21" s="39">
        <f t="shared" si="2"/>
        <v>2365</v>
      </c>
      <c r="H21" s="39">
        <f t="shared" si="2"/>
        <v>622</v>
      </c>
      <c r="I21" s="39">
        <f t="shared" si="2"/>
        <v>7</v>
      </c>
      <c r="J21" s="39">
        <f t="shared" si="2"/>
        <v>0</v>
      </c>
      <c r="K21" s="39">
        <f t="shared" si="2"/>
        <v>573</v>
      </c>
      <c r="L21" s="39">
        <f t="shared" si="2"/>
        <v>8169</v>
      </c>
      <c r="M21" s="39">
        <f t="shared" si="2"/>
        <v>5162</v>
      </c>
      <c r="N21" s="39">
        <f t="shared" si="2"/>
        <v>1104</v>
      </c>
      <c r="O21" s="39">
        <f t="shared" si="2"/>
        <v>758</v>
      </c>
      <c r="P21" s="39">
        <f t="shared" si="2"/>
        <v>4738</v>
      </c>
      <c r="Q21" s="39">
        <f t="shared" si="2"/>
        <v>92608</v>
      </c>
      <c r="R21" s="39">
        <f t="shared" si="2"/>
        <v>50829</v>
      </c>
      <c r="S21" s="39">
        <f t="shared" si="2"/>
        <v>25550</v>
      </c>
      <c r="T21" s="39">
        <f t="shared" si="2"/>
        <v>156622</v>
      </c>
      <c r="U21" s="39">
        <f t="shared" si="2"/>
        <v>11904</v>
      </c>
      <c r="V21" s="39">
        <f t="shared" si="2"/>
        <v>123386</v>
      </c>
      <c r="W21" s="39">
        <f t="shared" si="2"/>
        <v>0</v>
      </c>
      <c r="X21" s="39">
        <f t="shared" si="2"/>
        <v>0</v>
      </c>
      <c r="Y21" s="39">
        <f t="shared" si="2"/>
        <v>23705</v>
      </c>
      <c r="Z21" s="39">
        <f t="shared" si="2"/>
        <v>0</v>
      </c>
      <c r="AA21" s="39">
        <f t="shared" si="2"/>
        <v>1890</v>
      </c>
      <c r="AB21" s="39">
        <f t="shared" si="2"/>
        <v>2004</v>
      </c>
      <c r="AC21" s="39">
        <f t="shared" si="2"/>
        <v>0</v>
      </c>
      <c r="AD21" s="39">
        <f t="shared" si="2"/>
        <v>0</v>
      </c>
      <c r="AE21" s="39">
        <f t="shared" si="2"/>
        <v>0</v>
      </c>
      <c r="AF21" s="39">
        <f t="shared" si="2"/>
        <v>4393.854</v>
      </c>
      <c r="AG21" s="39">
        <f t="shared" si="2"/>
        <v>16059.762</v>
      </c>
      <c r="AH21" s="39">
        <f t="shared" si="2"/>
        <v>65915.121</v>
      </c>
      <c r="AI21" s="39">
        <f t="shared" si="2"/>
        <v>3686</v>
      </c>
      <c r="AJ21" s="39">
        <f t="shared" si="2"/>
        <v>324</v>
      </c>
      <c r="AK21" s="39">
        <f t="shared" si="2"/>
        <v>956</v>
      </c>
      <c r="AL21" s="39">
        <f t="shared" si="2"/>
        <v>23021.711</v>
      </c>
      <c r="AM21" s="39">
        <f t="shared" si="2"/>
        <v>4112.394</v>
      </c>
      <c r="AN21" s="39">
        <f t="shared" si="2"/>
        <v>634.0980000000001</v>
      </c>
      <c r="AO21" s="39">
        <f t="shared" si="2"/>
        <v>13386.504</v>
      </c>
      <c r="AP21" s="39">
        <f t="shared" si="2"/>
        <v>0</v>
      </c>
      <c r="AQ21" s="39">
        <f t="shared" si="2"/>
        <v>32995</v>
      </c>
      <c r="AR21" s="39"/>
      <c r="AS21" s="205">
        <f t="shared" si="0"/>
        <v>713452.444</v>
      </c>
      <c r="AT21" s="39"/>
      <c r="AU21" s="39"/>
      <c r="AV21" s="39"/>
      <c r="AW21" s="39"/>
      <c r="AX21" s="39"/>
    </row>
    <row r="22" spans="1:50" ht="11.25" customHeight="1">
      <c r="A22" s="219"/>
      <c r="B22" s="217"/>
      <c r="C22" s="217"/>
      <c r="D22" s="215"/>
      <c r="E22" s="218"/>
      <c r="F22" s="218"/>
      <c r="G22" s="218"/>
      <c r="H22" s="218"/>
      <c r="I22" s="218"/>
      <c r="J22" s="218"/>
      <c r="K22" s="218"/>
      <c r="L22" s="218"/>
      <c r="M22" s="39"/>
      <c r="N22" s="39"/>
      <c r="O22" s="218"/>
      <c r="P22" s="216"/>
      <c r="Q22" s="216"/>
      <c r="R22" s="216"/>
      <c r="S22" s="216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P22" s="218"/>
      <c r="AQ22" s="218"/>
      <c r="AT22" s="39"/>
      <c r="AU22" s="39"/>
      <c r="AV22" s="39"/>
      <c r="AW22" s="39"/>
      <c r="AX22" s="39"/>
    </row>
    <row r="23" spans="1:49" ht="11.25" customHeight="1" hidden="1" outlineLevel="1">
      <c r="A23" s="219" t="s">
        <v>285</v>
      </c>
      <c r="B23" s="217"/>
      <c r="C23" s="217"/>
      <c r="D23" s="215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6"/>
      <c r="Q23" s="216"/>
      <c r="R23" s="216"/>
      <c r="S23" s="216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P23" s="218"/>
      <c r="AQ23" s="218"/>
      <c r="AT23" s="39"/>
      <c r="AU23" s="39"/>
      <c r="AV23" s="39"/>
      <c r="AW23" s="39"/>
    </row>
    <row r="24" spans="1:50" ht="11.25" customHeight="1" hidden="1" outlineLevel="1">
      <c r="A24" s="220" t="s">
        <v>286</v>
      </c>
      <c r="B24" s="215">
        <v>0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6">
        <v>0</v>
      </c>
      <c r="Q24" s="216">
        <v>0</v>
      </c>
      <c r="R24" s="216">
        <v>0</v>
      </c>
      <c r="S24" s="216">
        <v>0</v>
      </c>
      <c r="T24" s="216">
        <v>0</v>
      </c>
      <c r="U24" s="216">
        <v>0</v>
      </c>
      <c r="V24" s="216">
        <v>0</v>
      </c>
      <c r="W24" s="216">
        <v>0</v>
      </c>
      <c r="X24" s="216">
        <v>0</v>
      </c>
      <c r="Y24" s="215">
        <v>0</v>
      </c>
      <c r="Z24" s="215">
        <v>0</v>
      </c>
      <c r="AA24" s="215">
        <v>0</v>
      </c>
      <c r="AB24" s="215">
        <v>0</v>
      </c>
      <c r="AC24" s="215">
        <v>0</v>
      </c>
      <c r="AD24" s="215">
        <v>0</v>
      </c>
      <c r="AE24" s="215">
        <v>0</v>
      </c>
      <c r="AF24" s="215">
        <v>0</v>
      </c>
      <c r="AG24" s="215">
        <v>0</v>
      </c>
      <c r="AH24" s="215">
        <v>0</v>
      </c>
      <c r="AI24" s="215">
        <v>0</v>
      </c>
      <c r="AJ24" s="215">
        <v>0</v>
      </c>
      <c r="AK24" s="215">
        <v>0</v>
      </c>
      <c r="AL24" s="216">
        <v>0</v>
      </c>
      <c r="AM24" s="216">
        <v>0</v>
      </c>
      <c r="AN24" s="216">
        <v>0</v>
      </c>
      <c r="AO24" s="216">
        <v>0</v>
      </c>
      <c r="AP24" s="216">
        <v>0</v>
      </c>
      <c r="AQ24" s="216">
        <v>0</v>
      </c>
      <c r="AR24" s="216"/>
      <c r="AS24" s="205">
        <f t="shared" si="0"/>
        <v>0</v>
      </c>
      <c r="AT24" s="39"/>
      <c r="AU24" s="39"/>
      <c r="AV24" s="39"/>
      <c r="AW24" s="39"/>
      <c r="AX24" s="216"/>
    </row>
    <row r="25" spans="1:50" ht="11.25" customHeight="1" hidden="1" outlineLevel="1">
      <c r="A25" s="220" t="s">
        <v>287</v>
      </c>
      <c r="B25" s="215">
        <v>0</v>
      </c>
      <c r="C25" s="215">
        <v>0</v>
      </c>
      <c r="D25" s="215">
        <v>0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  <c r="J25" s="215">
        <v>0</v>
      </c>
      <c r="K25" s="215">
        <v>0</v>
      </c>
      <c r="L25" s="215">
        <v>0</v>
      </c>
      <c r="M25" s="215"/>
      <c r="N25" s="215"/>
      <c r="O25" s="215">
        <v>0</v>
      </c>
      <c r="P25" s="216">
        <v>0</v>
      </c>
      <c r="Q25" s="216">
        <v>0</v>
      </c>
      <c r="R25" s="216">
        <v>0</v>
      </c>
      <c r="S25" s="216">
        <v>0</v>
      </c>
      <c r="T25" s="216">
        <v>0</v>
      </c>
      <c r="U25" s="216">
        <v>0</v>
      </c>
      <c r="V25" s="216">
        <v>0</v>
      </c>
      <c r="W25" s="216">
        <v>0</v>
      </c>
      <c r="X25" s="216">
        <v>0</v>
      </c>
      <c r="Y25" s="215">
        <v>0</v>
      </c>
      <c r="Z25" s="215">
        <v>0</v>
      </c>
      <c r="AA25" s="215">
        <v>0</v>
      </c>
      <c r="AB25" s="215">
        <v>0</v>
      </c>
      <c r="AC25" s="215">
        <v>0</v>
      </c>
      <c r="AD25" s="215">
        <v>0</v>
      </c>
      <c r="AE25" s="215">
        <v>0</v>
      </c>
      <c r="AF25" s="215">
        <v>0</v>
      </c>
      <c r="AG25" s="215">
        <v>0</v>
      </c>
      <c r="AH25" s="215">
        <v>0</v>
      </c>
      <c r="AI25" s="215">
        <v>0</v>
      </c>
      <c r="AJ25" s="215">
        <v>0</v>
      </c>
      <c r="AK25" s="215">
        <v>0</v>
      </c>
      <c r="AL25" s="216">
        <v>0</v>
      </c>
      <c r="AM25" s="216">
        <v>0</v>
      </c>
      <c r="AN25" s="216">
        <v>0</v>
      </c>
      <c r="AO25" s="216">
        <v>0</v>
      </c>
      <c r="AP25" s="216">
        <v>0</v>
      </c>
      <c r="AQ25" s="216">
        <v>0</v>
      </c>
      <c r="AR25" s="216"/>
      <c r="AS25" s="205">
        <f t="shared" si="0"/>
        <v>0</v>
      </c>
      <c r="AT25" s="39"/>
      <c r="AU25" s="39"/>
      <c r="AV25" s="39"/>
      <c r="AW25" s="39"/>
      <c r="AX25" s="216"/>
    </row>
    <row r="26" spans="1:50" ht="11.25" customHeight="1" hidden="1" outlineLevel="1">
      <c r="A26" s="220" t="s">
        <v>288</v>
      </c>
      <c r="B26" s="215">
        <v>125059</v>
      </c>
      <c r="C26" s="215">
        <v>6237</v>
      </c>
      <c r="D26" s="215">
        <v>0</v>
      </c>
      <c r="E26" s="215">
        <v>119654</v>
      </c>
      <c r="F26" s="215">
        <v>21767</v>
      </c>
      <c r="G26" s="215">
        <v>18792</v>
      </c>
      <c r="H26" s="215">
        <v>824</v>
      </c>
      <c r="I26" s="215">
        <v>19</v>
      </c>
      <c r="J26" s="215">
        <v>0</v>
      </c>
      <c r="K26" s="215">
        <v>0</v>
      </c>
      <c r="L26" s="215">
        <v>0</v>
      </c>
      <c r="M26" s="215">
        <v>8622</v>
      </c>
      <c r="N26" s="215">
        <v>38935</v>
      </c>
      <c r="O26" s="215">
        <v>13044</v>
      </c>
      <c r="P26" s="216">
        <v>-1494</v>
      </c>
      <c r="Q26" s="216">
        <v>18549</v>
      </c>
      <c r="R26" s="216">
        <v>0</v>
      </c>
      <c r="S26" s="216">
        <v>0</v>
      </c>
      <c r="T26" s="215">
        <v>1115319</v>
      </c>
      <c r="U26" s="215">
        <v>18719</v>
      </c>
      <c r="V26" s="216">
        <v>0</v>
      </c>
      <c r="W26" s="216">
        <v>0</v>
      </c>
      <c r="X26" s="216">
        <v>0</v>
      </c>
      <c r="Y26" s="215">
        <v>0</v>
      </c>
      <c r="Z26" s="215">
        <v>57</v>
      </c>
      <c r="AA26" s="215">
        <v>15271</v>
      </c>
      <c r="AB26" s="215">
        <v>0</v>
      </c>
      <c r="AC26" s="215">
        <v>0</v>
      </c>
      <c r="AD26" s="215">
        <v>0</v>
      </c>
      <c r="AE26" s="215">
        <v>0</v>
      </c>
      <c r="AF26" s="215">
        <v>4097.938</v>
      </c>
      <c r="AG26" s="215">
        <v>3381.322</v>
      </c>
      <c r="AH26" s="215">
        <v>16.073</v>
      </c>
      <c r="AI26" s="215">
        <v>1067</v>
      </c>
      <c r="AJ26" s="215">
        <v>61</v>
      </c>
      <c r="AK26" s="215">
        <v>0</v>
      </c>
      <c r="AL26" s="216">
        <v>164.155</v>
      </c>
      <c r="AM26" s="216">
        <v>2302.992</v>
      </c>
      <c r="AN26" s="216">
        <v>1758.942</v>
      </c>
      <c r="AO26" s="216">
        <v>0</v>
      </c>
      <c r="AP26" s="216">
        <v>0</v>
      </c>
      <c r="AQ26" s="215">
        <v>281</v>
      </c>
      <c r="AR26" s="216"/>
      <c r="AS26" s="205">
        <f t="shared" si="0"/>
        <v>1532504.4220000003</v>
      </c>
      <c r="AT26" s="39"/>
      <c r="AU26" s="39"/>
      <c r="AV26" s="39"/>
      <c r="AW26" s="39"/>
      <c r="AX26" s="216"/>
    </row>
    <row r="27" spans="1:50" ht="11.25" customHeight="1" hidden="1" outlineLevel="1">
      <c r="A27" s="220" t="s">
        <v>289</v>
      </c>
      <c r="B27" s="217">
        <v>0</v>
      </c>
      <c r="C27" s="217">
        <v>0</v>
      </c>
      <c r="D27" s="217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18431</v>
      </c>
      <c r="N27" s="215">
        <v>43024</v>
      </c>
      <c r="O27" s="215">
        <v>0</v>
      </c>
      <c r="P27" s="216">
        <v>0</v>
      </c>
      <c r="Q27" s="216">
        <v>0</v>
      </c>
      <c r="R27" s="216">
        <v>0</v>
      </c>
      <c r="S27" s="216">
        <v>0</v>
      </c>
      <c r="T27" s="216">
        <v>0</v>
      </c>
      <c r="U27" s="216">
        <v>0</v>
      </c>
      <c r="V27" s="216">
        <v>0</v>
      </c>
      <c r="W27" s="216">
        <v>0</v>
      </c>
      <c r="X27" s="216">
        <v>0</v>
      </c>
      <c r="Y27" s="215">
        <v>0</v>
      </c>
      <c r="Z27" s="215">
        <v>0</v>
      </c>
      <c r="AA27" s="215">
        <v>0</v>
      </c>
      <c r="AB27" s="215">
        <v>0</v>
      </c>
      <c r="AC27" s="215">
        <v>0</v>
      </c>
      <c r="AD27" s="215">
        <v>0</v>
      </c>
      <c r="AE27" s="215">
        <v>0</v>
      </c>
      <c r="AF27" s="215">
        <v>0</v>
      </c>
      <c r="AG27" s="215">
        <v>0</v>
      </c>
      <c r="AH27" s="215">
        <v>0</v>
      </c>
      <c r="AI27" s="215">
        <v>0</v>
      </c>
      <c r="AJ27" s="215">
        <v>0</v>
      </c>
      <c r="AK27" s="215">
        <v>0</v>
      </c>
      <c r="AL27" s="216">
        <v>0</v>
      </c>
      <c r="AM27" s="216">
        <v>0</v>
      </c>
      <c r="AN27" s="216">
        <v>0</v>
      </c>
      <c r="AO27" s="216">
        <v>0</v>
      </c>
      <c r="AP27" s="216">
        <v>0</v>
      </c>
      <c r="AQ27" s="216">
        <v>0</v>
      </c>
      <c r="AR27" s="216"/>
      <c r="AS27" s="205">
        <f t="shared" si="0"/>
        <v>61455</v>
      </c>
      <c r="AT27" s="39"/>
      <c r="AU27" s="39"/>
      <c r="AV27" s="39"/>
      <c r="AW27" s="39"/>
      <c r="AX27" s="216"/>
    </row>
    <row r="28" spans="1:50" ht="11.25" customHeight="1" hidden="1" outlineLevel="1">
      <c r="A28" s="220" t="s">
        <v>290</v>
      </c>
      <c r="B28" s="215">
        <v>90034</v>
      </c>
      <c r="C28" s="215">
        <v>26796</v>
      </c>
      <c r="D28" s="215">
        <v>13462</v>
      </c>
      <c r="E28" s="215">
        <v>95269</v>
      </c>
      <c r="F28" s="215">
        <v>16710</v>
      </c>
      <c r="G28" s="215">
        <v>36324</v>
      </c>
      <c r="H28" s="215">
        <v>11720</v>
      </c>
      <c r="I28" s="215">
        <v>583</v>
      </c>
      <c r="J28" s="215">
        <v>801</v>
      </c>
      <c r="K28" s="215">
        <v>20483</v>
      </c>
      <c r="L28" s="215">
        <v>63021</v>
      </c>
      <c r="M28" s="215">
        <v>0</v>
      </c>
      <c r="N28" s="215">
        <v>0</v>
      </c>
      <c r="O28" s="215">
        <v>0</v>
      </c>
      <c r="P28" s="216">
        <v>488145</v>
      </c>
      <c r="Q28" s="216">
        <v>2196048</v>
      </c>
      <c r="R28" s="216">
        <v>113478</v>
      </c>
      <c r="S28" s="216">
        <v>37813</v>
      </c>
      <c r="T28" s="215">
        <v>1922343</v>
      </c>
      <c r="U28" s="215">
        <v>89420</v>
      </c>
      <c r="V28" s="215">
        <v>214741</v>
      </c>
      <c r="W28" s="215">
        <v>12901</v>
      </c>
      <c r="X28" s="215">
        <v>20266</v>
      </c>
      <c r="Y28" s="215">
        <v>0</v>
      </c>
      <c r="Z28" s="215">
        <v>2058</v>
      </c>
      <c r="AA28" s="215">
        <v>2569</v>
      </c>
      <c r="AB28" s="215">
        <v>48538</v>
      </c>
      <c r="AC28" s="215">
        <v>2309</v>
      </c>
      <c r="AD28" s="215">
        <v>7416</v>
      </c>
      <c r="AE28" s="215">
        <v>3298</v>
      </c>
      <c r="AF28" s="215">
        <v>386779.112</v>
      </c>
      <c r="AG28" s="215">
        <v>477649.368</v>
      </c>
      <c r="AH28" s="215">
        <v>96742.368</v>
      </c>
      <c r="AI28" s="215">
        <v>27946</v>
      </c>
      <c r="AJ28" s="215">
        <v>3548</v>
      </c>
      <c r="AK28" s="215">
        <v>1720</v>
      </c>
      <c r="AL28" s="216">
        <v>50672.468</v>
      </c>
      <c r="AM28" s="216">
        <v>317085.416</v>
      </c>
      <c r="AN28" s="216">
        <v>201537.433</v>
      </c>
      <c r="AO28" s="216">
        <v>20591.098</v>
      </c>
      <c r="AP28" s="215">
        <v>570</v>
      </c>
      <c r="AQ28" s="215">
        <v>201774</v>
      </c>
      <c r="AR28" s="216"/>
      <c r="AS28" s="205">
        <f t="shared" si="0"/>
        <v>7323161.263</v>
      </c>
      <c r="AT28" s="39"/>
      <c r="AU28" s="39"/>
      <c r="AV28" s="39"/>
      <c r="AW28" s="39"/>
      <c r="AX28" s="216"/>
    </row>
    <row r="29" spans="1:50" ht="11.25" customHeight="1" hidden="1" outlineLevel="1">
      <c r="A29" s="220" t="s">
        <v>291</v>
      </c>
      <c r="B29" s="215">
        <v>0</v>
      </c>
      <c r="C29" s="215">
        <v>0</v>
      </c>
      <c r="D29" s="215">
        <v>0</v>
      </c>
      <c r="E29" s="215">
        <v>0</v>
      </c>
      <c r="F29" s="215">
        <v>3184</v>
      </c>
      <c r="G29" s="215">
        <v>5256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0</v>
      </c>
      <c r="O29" s="215">
        <v>0</v>
      </c>
      <c r="P29" s="216">
        <v>0</v>
      </c>
      <c r="Q29" s="216">
        <v>0</v>
      </c>
      <c r="R29" s="216">
        <v>0</v>
      </c>
      <c r="S29" s="216">
        <v>0</v>
      </c>
      <c r="T29" s="216">
        <v>0</v>
      </c>
      <c r="U29" s="216">
        <v>0</v>
      </c>
      <c r="V29" s="216">
        <v>0</v>
      </c>
      <c r="W29" s="216">
        <v>0</v>
      </c>
      <c r="X29" s="216">
        <v>0</v>
      </c>
      <c r="Y29" s="215">
        <v>0</v>
      </c>
      <c r="Z29" s="215">
        <v>0</v>
      </c>
      <c r="AA29" s="215">
        <v>0</v>
      </c>
      <c r="AB29" s="215">
        <v>0</v>
      </c>
      <c r="AC29" s="215">
        <v>0</v>
      </c>
      <c r="AD29" s="215">
        <v>0</v>
      </c>
      <c r="AE29" s="215">
        <v>0</v>
      </c>
      <c r="AF29" s="215">
        <v>0</v>
      </c>
      <c r="AG29" s="215">
        <v>0</v>
      </c>
      <c r="AH29" s="215">
        <v>0</v>
      </c>
      <c r="AI29" s="215">
        <v>0</v>
      </c>
      <c r="AJ29" s="215">
        <v>0</v>
      </c>
      <c r="AK29" s="215">
        <v>0</v>
      </c>
      <c r="AL29" s="216">
        <v>0</v>
      </c>
      <c r="AM29" s="216">
        <v>0</v>
      </c>
      <c r="AN29" s="216">
        <v>0</v>
      </c>
      <c r="AO29" s="216">
        <v>0</v>
      </c>
      <c r="AP29" s="216">
        <v>0</v>
      </c>
      <c r="AQ29" s="216">
        <v>0</v>
      </c>
      <c r="AR29" s="216"/>
      <c r="AS29" s="205">
        <f t="shared" si="0"/>
        <v>8440</v>
      </c>
      <c r="AT29" s="39"/>
      <c r="AU29" s="39"/>
      <c r="AV29" s="39"/>
      <c r="AW29" s="39"/>
      <c r="AX29" s="216"/>
    </row>
    <row r="30" spans="1:50" ht="11.25" customHeight="1" hidden="1" outlineLevel="1">
      <c r="A30" s="220" t="s">
        <v>292</v>
      </c>
      <c r="B30" s="215">
        <v>0</v>
      </c>
      <c r="C30" s="215">
        <v>0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  <c r="N30" s="215">
        <v>0</v>
      </c>
      <c r="O30" s="215">
        <v>0</v>
      </c>
      <c r="P30" s="216">
        <v>0</v>
      </c>
      <c r="Q30" s="216">
        <v>0</v>
      </c>
      <c r="R30" s="216">
        <v>0</v>
      </c>
      <c r="S30" s="216">
        <v>0</v>
      </c>
      <c r="T30" s="216">
        <v>0</v>
      </c>
      <c r="U30" s="216">
        <v>0</v>
      </c>
      <c r="V30" s="216">
        <v>0</v>
      </c>
      <c r="W30" s="216">
        <v>0</v>
      </c>
      <c r="X30" s="216">
        <v>0</v>
      </c>
      <c r="Y30" s="215">
        <v>0</v>
      </c>
      <c r="Z30" s="215">
        <v>0</v>
      </c>
      <c r="AA30" s="215">
        <v>0</v>
      </c>
      <c r="AB30" s="215">
        <v>0</v>
      </c>
      <c r="AC30" s="215">
        <v>0</v>
      </c>
      <c r="AD30" s="215">
        <v>0</v>
      </c>
      <c r="AE30" s="215">
        <v>0</v>
      </c>
      <c r="AF30" s="215">
        <v>0</v>
      </c>
      <c r="AG30" s="215">
        <v>0</v>
      </c>
      <c r="AH30" s="215">
        <v>0</v>
      </c>
      <c r="AI30" s="215">
        <v>0</v>
      </c>
      <c r="AJ30" s="215">
        <v>0</v>
      </c>
      <c r="AK30" s="215">
        <v>0</v>
      </c>
      <c r="AL30" s="216">
        <v>0</v>
      </c>
      <c r="AM30" s="216">
        <v>0</v>
      </c>
      <c r="AN30" s="216">
        <v>0</v>
      </c>
      <c r="AO30" s="216">
        <v>0</v>
      </c>
      <c r="AP30" s="216">
        <v>0</v>
      </c>
      <c r="AQ30" s="216">
        <v>0</v>
      </c>
      <c r="AR30" s="216"/>
      <c r="AS30" s="205">
        <f t="shared" si="0"/>
        <v>0</v>
      </c>
      <c r="AT30" s="39"/>
      <c r="AU30" s="39"/>
      <c r="AV30" s="39"/>
      <c r="AW30" s="39"/>
      <c r="AX30" s="216"/>
    </row>
    <row r="31" spans="1:50" ht="11.25" customHeight="1" hidden="1" outlineLevel="1">
      <c r="A31" s="220" t="s">
        <v>293</v>
      </c>
      <c r="B31" s="215">
        <v>0</v>
      </c>
      <c r="C31" s="215">
        <v>0</v>
      </c>
      <c r="D31" s="215">
        <v>0</v>
      </c>
      <c r="E31" s="215">
        <v>-1074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6">
        <v>0</v>
      </c>
      <c r="Q31" s="216">
        <v>0</v>
      </c>
      <c r="R31" s="216">
        <v>0</v>
      </c>
      <c r="S31" s="216">
        <v>0</v>
      </c>
      <c r="T31" s="216">
        <v>0</v>
      </c>
      <c r="U31" s="216">
        <v>0</v>
      </c>
      <c r="V31" s="216">
        <v>0</v>
      </c>
      <c r="W31" s="216">
        <v>0</v>
      </c>
      <c r="X31" s="216">
        <v>0</v>
      </c>
      <c r="Y31" s="215">
        <v>0</v>
      </c>
      <c r="Z31" s="215">
        <v>0</v>
      </c>
      <c r="AA31" s="215">
        <v>0</v>
      </c>
      <c r="AB31" s="215">
        <v>0</v>
      </c>
      <c r="AC31" s="215">
        <v>0</v>
      </c>
      <c r="AD31" s="215">
        <v>0</v>
      </c>
      <c r="AE31" s="215">
        <v>0</v>
      </c>
      <c r="AF31" s="215">
        <v>4824.791</v>
      </c>
      <c r="AG31" s="215">
        <v>6925.452</v>
      </c>
      <c r="AH31" s="215">
        <v>2117.546</v>
      </c>
      <c r="AI31" s="215">
        <v>0</v>
      </c>
      <c r="AJ31" s="215">
        <v>0</v>
      </c>
      <c r="AK31" s="215">
        <v>0</v>
      </c>
      <c r="AL31" s="216">
        <v>0</v>
      </c>
      <c r="AM31" s="216">
        <v>0</v>
      </c>
      <c r="AN31" s="216">
        <v>0</v>
      </c>
      <c r="AO31" s="216">
        <v>0</v>
      </c>
      <c r="AP31" s="216">
        <v>0</v>
      </c>
      <c r="AQ31" s="215">
        <v>3668</v>
      </c>
      <c r="AR31" s="216"/>
      <c r="AS31" s="205">
        <f t="shared" si="0"/>
        <v>16461.789</v>
      </c>
      <c r="AT31" s="39"/>
      <c r="AU31" s="39"/>
      <c r="AV31" s="39"/>
      <c r="AW31" s="39"/>
      <c r="AX31" s="216"/>
    </row>
    <row r="32" spans="1:50" ht="11.25" customHeight="1" hidden="1" outlineLevel="1">
      <c r="A32" s="220" t="s">
        <v>294</v>
      </c>
      <c r="B32" s="215">
        <v>0</v>
      </c>
      <c r="C32" s="215">
        <v>0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6">
        <v>0</v>
      </c>
      <c r="Q32" s="216">
        <v>0</v>
      </c>
      <c r="R32" s="216">
        <v>0</v>
      </c>
      <c r="S32" s="216">
        <v>0</v>
      </c>
      <c r="T32" s="216">
        <v>0</v>
      </c>
      <c r="U32" s="216">
        <v>0</v>
      </c>
      <c r="V32" s="216">
        <v>0</v>
      </c>
      <c r="W32" s="216">
        <v>0</v>
      </c>
      <c r="X32" s="216">
        <v>0</v>
      </c>
      <c r="Y32" s="215">
        <v>135130</v>
      </c>
      <c r="Z32" s="215">
        <v>0</v>
      </c>
      <c r="AA32" s="215">
        <v>-461</v>
      </c>
      <c r="AB32" s="215">
        <v>0</v>
      </c>
      <c r="AC32" s="215">
        <v>0</v>
      </c>
      <c r="AD32" s="215">
        <v>0</v>
      </c>
      <c r="AE32" s="215">
        <v>0</v>
      </c>
      <c r="AF32" s="215">
        <v>0</v>
      </c>
      <c r="AG32" s="215">
        <v>0</v>
      </c>
      <c r="AH32" s="215">
        <v>0</v>
      </c>
      <c r="AI32" s="215">
        <v>0</v>
      </c>
      <c r="AJ32" s="215">
        <v>0</v>
      </c>
      <c r="AK32" s="215">
        <v>0</v>
      </c>
      <c r="AL32" s="216">
        <v>0</v>
      </c>
      <c r="AM32" s="216">
        <v>0</v>
      </c>
      <c r="AN32" s="216">
        <v>0</v>
      </c>
      <c r="AO32" s="216">
        <v>0</v>
      </c>
      <c r="AP32" s="216">
        <v>0</v>
      </c>
      <c r="AQ32" s="218">
        <v>0</v>
      </c>
      <c r="AR32" s="216"/>
      <c r="AS32" s="205">
        <f t="shared" si="0"/>
        <v>134669</v>
      </c>
      <c r="AT32" s="39"/>
      <c r="AU32" s="39"/>
      <c r="AV32" s="39"/>
      <c r="AW32" s="39"/>
      <c r="AX32" s="216"/>
    </row>
    <row r="33" spans="1:54" ht="11.25" customHeight="1" collapsed="1">
      <c r="A33" s="219" t="s">
        <v>428</v>
      </c>
      <c r="B33" s="39">
        <f aca="true" t="shared" si="3" ref="B33:AQ33">SUM(B24:B32)</f>
        <v>215093</v>
      </c>
      <c r="C33" s="39">
        <f t="shared" si="3"/>
        <v>33033</v>
      </c>
      <c r="D33" s="39">
        <f t="shared" si="3"/>
        <v>13462</v>
      </c>
      <c r="E33" s="39">
        <f t="shared" si="3"/>
        <v>213849</v>
      </c>
      <c r="F33" s="39">
        <f t="shared" si="3"/>
        <v>41661</v>
      </c>
      <c r="G33" s="39">
        <f t="shared" si="3"/>
        <v>60372</v>
      </c>
      <c r="H33" s="39">
        <f t="shared" si="3"/>
        <v>12544</v>
      </c>
      <c r="I33" s="39">
        <f t="shared" si="3"/>
        <v>602</v>
      </c>
      <c r="J33" s="39">
        <f t="shared" si="3"/>
        <v>801</v>
      </c>
      <c r="K33" s="39">
        <f t="shared" si="3"/>
        <v>20483</v>
      </c>
      <c r="L33" s="39">
        <f t="shared" si="3"/>
        <v>63021</v>
      </c>
      <c r="M33" s="39">
        <f t="shared" si="3"/>
        <v>27053</v>
      </c>
      <c r="N33" s="39">
        <f t="shared" si="3"/>
        <v>81959</v>
      </c>
      <c r="O33" s="39">
        <f t="shared" si="3"/>
        <v>13044</v>
      </c>
      <c r="P33" s="39">
        <f t="shared" si="3"/>
        <v>486651</v>
      </c>
      <c r="Q33" s="39">
        <f t="shared" si="3"/>
        <v>2214597</v>
      </c>
      <c r="R33" s="39">
        <f t="shared" si="3"/>
        <v>113478</v>
      </c>
      <c r="S33" s="39">
        <f t="shared" si="3"/>
        <v>37813</v>
      </c>
      <c r="T33" s="39">
        <f t="shared" si="3"/>
        <v>3037662</v>
      </c>
      <c r="U33" s="39">
        <f t="shared" si="3"/>
        <v>108139</v>
      </c>
      <c r="V33" s="39">
        <f t="shared" si="3"/>
        <v>214741</v>
      </c>
      <c r="W33" s="39">
        <f t="shared" si="3"/>
        <v>12901</v>
      </c>
      <c r="X33" s="39">
        <f t="shared" si="3"/>
        <v>20266</v>
      </c>
      <c r="Y33" s="39">
        <f t="shared" si="3"/>
        <v>135130</v>
      </c>
      <c r="Z33" s="39">
        <f t="shared" si="3"/>
        <v>2115</v>
      </c>
      <c r="AA33" s="39">
        <f t="shared" si="3"/>
        <v>17379</v>
      </c>
      <c r="AB33" s="39">
        <f t="shared" si="3"/>
        <v>48538</v>
      </c>
      <c r="AC33" s="39">
        <f t="shared" si="3"/>
        <v>2309</v>
      </c>
      <c r="AD33" s="39">
        <f t="shared" si="3"/>
        <v>7416</v>
      </c>
      <c r="AE33" s="39">
        <f t="shared" si="3"/>
        <v>3298</v>
      </c>
      <c r="AF33" s="39">
        <f t="shared" si="3"/>
        <v>395701.8410000001</v>
      </c>
      <c r="AG33" s="39">
        <f t="shared" si="3"/>
        <v>487956.142</v>
      </c>
      <c r="AH33" s="39">
        <f t="shared" si="3"/>
        <v>98875.98700000001</v>
      </c>
      <c r="AI33" s="39">
        <f t="shared" si="3"/>
        <v>29013</v>
      </c>
      <c r="AJ33" s="39">
        <f t="shared" si="3"/>
        <v>3609</v>
      </c>
      <c r="AK33" s="39">
        <f t="shared" si="3"/>
        <v>1720</v>
      </c>
      <c r="AL33" s="39">
        <f t="shared" si="3"/>
        <v>50836.623</v>
      </c>
      <c r="AM33" s="39">
        <f t="shared" si="3"/>
        <v>319388.40800000005</v>
      </c>
      <c r="AN33" s="39">
        <f t="shared" si="3"/>
        <v>203296.375</v>
      </c>
      <c r="AO33" s="39">
        <f t="shared" si="3"/>
        <v>20591.098</v>
      </c>
      <c r="AP33" s="39">
        <f t="shared" si="3"/>
        <v>570</v>
      </c>
      <c r="AQ33" s="39">
        <f t="shared" si="3"/>
        <v>205723</v>
      </c>
      <c r="AR33" s="39"/>
      <c r="AS33" s="205">
        <f t="shared" si="0"/>
        <v>9076691.474</v>
      </c>
      <c r="AT33" s="39"/>
      <c r="AU33" s="39"/>
      <c r="AV33" s="39"/>
      <c r="AW33" s="39"/>
      <c r="AX33" s="39"/>
      <c r="AZ33" s="39"/>
      <c r="BA33" s="39"/>
      <c r="BB33" s="39"/>
    </row>
    <row r="34" spans="1:49" ht="11.25" customHeight="1">
      <c r="A34" s="219"/>
      <c r="B34" s="217"/>
      <c r="C34" s="217"/>
      <c r="D34" s="215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6"/>
      <c r="Q34" s="216"/>
      <c r="R34" s="216"/>
      <c r="S34" s="216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P34" s="218"/>
      <c r="AQ34" s="218"/>
      <c r="AT34" s="39"/>
      <c r="AU34" s="39"/>
      <c r="AV34" s="39"/>
      <c r="AW34" s="39"/>
    </row>
    <row r="35" spans="1:49" ht="11.25" customHeight="1" hidden="1" outlineLevel="1">
      <c r="A35" s="219" t="s">
        <v>296</v>
      </c>
      <c r="B35" s="217"/>
      <c r="C35" s="217"/>
      <c r="D35" s="215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6"/>
      <c r="Q35" s="216"/>
      <c r="R35" s="216"/>
      <c r="S35" s="216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P35" s="218"/>
      <c r="AQ35" s="218"/>
      <c r="AT35" s="39"/>
      <c r="AU35" s="39"/>
      <c r="AV35" s="39"/>
      <c r="AW35" s="39"/>
    </row>
    <row r="36" spans="1:50" ht="11.25" customHeight="1" hidden="1" outlineLevel="1">
      <c r="A36" s="220" t="s">
        <v>297</v>
      </c>
      <c r="B36" s="215">
        <v>917.8</v>
      </c>
      <c r="C36" s="215">
        <v>166</v>
      </c>
      <c r="D36" s="215">
        <v>22</v>
      </c>
      <c r="E36" s="215">
        <v>626</v>
      </c>
      <c r="F36" s="215">
        <v>0</v>
      </c>
      <c r="G36" s="215">
        <v>0</v>
      </c>
      <c r="H36" s="215">
        <v>132</v>
      </c>
      <c r="I36" s="215">
        <v>8</v>
      </c>
      <c r="J36" s="215">
        <v>0</v>
      </c>
      <c r="K36" s="215">
        <v>300</v>
      </c>
      <c r="L36" s="215">
        <v>1350</v>
      </c>
      <c r="M36" s="215">
        <v>240</v>
      </c>
      <c r="N36" s="215">
        <v>615</v>
      </c>
      <c r="O36" s="215">
        <v>102</v>
      </c>
      <c r="P36" s="216">
        <v>3979</v>
      </c>
      <c r="Q36" s="216">
        <v>16195</v>
      </c>
      <c r="R36" s="216">
        <v>1001</v>
      </c>
      <c r="S36" s="216">
        <v>0</v>
      </c>
      <c r="T36" s="215">
        <v>51843</v>
      </c>
      <c r="U36" s="215">
        <v>2201</v>
      </c>
      <c r="V36" s="215">
        <v>0</v>
      </c>
      <c r="W36" s="215">
        <v>160</v>
      </c>
      <c r="X36" s="215">
        <v>286</v>
      </c>
      <c r="Y36" s="215">
        <v>0</v>
      </c>
      <c r="Z36" s="215">
        <v>0</v>
      </c>
      <c r="AA36" s="215">
        <v>96</v>
      </c>
      <c r="AB36" s="215">
        <v>0</v>
      </c>
      <c r="AC36" s="215">
        <v>97</v>
      </c>
      <c r="AD36" s="215">
        <v>222</v>
      </c>
      <c r="AE36" s="215">
        <v>0</v>
      </c>
      <c r="AF36" s="215">
        <v>4174.89</v>
      </c>
      <c r="AG36" s="215">
        <v>7283.611</v>
      </c>
      <c r="AH36" s="215">
        <v>1961.72</v>
      </c>
      <c r="AI36" s="215">
        <v>-4</v>
      </c>
      <c r="AJ36" s="215">
        <v>0</v>
      </c>
      <c r="AK36" s="215">
        <v>0</v>
      </c>
      <c r="AL36" s="216">
        <v>1159.251</v>
      </c>
      <c r="AM36" s="216">
        <v>5733.269</v>
      </c>
      <c r="AN36" s="216">
        <v>3432.96</v>
      </c>
      <c r="AO36" s="216">
        <v>0</v>
      </c>
      <c r="AP36" s="215">
        <v>48</v>
      </c>
      <c r="AQ36" s="215">
        <v>117</v>
      </c>
      <c r="AR36" s="216"/>
      <c r="AS36" s="205">
        <f t="shared" si="0"/>
        <v>104465.50100000002</v>
      </c>
      <c r="AT36" s="39"/>
      <c r="AU36" s="39"/>
      <c r="AV36" s="39"/>
      <c r="AW36" s="39"/>
      <c r="AX36" s="216"/>
    </row>
    <row r="37" spans="1:50" ht="11.25" customHeight="1" hidden="1" outlineLevel="1">
      <c r="A37" s="220" t="s">
        <v>298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6">
        <v>45</v>
      </c>
      <c r="Q37" s="216">
        <v>228</v>
      </c>
      <c r="R37" s="216">
        <v>6</v>
      </c>
      <c r="S37" s="216">
        <v>0</v>
      </c>
      <c r="T37" s="216">
        <v>0</v>
      </c>
      <c r="U37" s="216">
        <v>0</v>
      </c>
      <c r="V37" s="216">
        <v>0</v>
      </c>
      <c r="W37" s="216">
        <v>0</v>
      </c>
      <c r="X37" s="216">
        <v>0</v>
      </c>
      <c r="Y37" s="215">
        <v>0</v>
      </c>
      <c r="Z37" s="215">
        <v>0</v>
      </c>
      <c r="AA37" s="215">
        <v>0</v>
      </c>
      <c r="AB37" s="215">
        <v>0</v>
      </c>
      <c r="AC37" s="215">
        <v>0</v>
      </c>
      <c r="AD37" s="215">
        <v>0</v>
      </c>
      <c r="AE37" s="215">
        <v>0</v>
      </c>
      <c r="AF37" s="215">
        <v>0</v>
      </c>
      <c r="AG37" s="215">
        <v>0</v>
      </c>
      <c r="AH37" s="215">
        <v>0</v>
      </c>
      <c r="AI37" s="215">
        <v>0</v>
      </c>
      <c r="AJ37" s="215">
        <v>0</v>
      </c>
      <c r="AK37" s="215">
        <v>0</v>
      </c>
      <c r="AL37" s="216">
        <v>21.007</v>
      </c>
      <c r="AM37" s="216">
        <v>97.437</v>
      </c>
      <c r="AN37" s="216">
        <v>57.076</v>
      </c>
      <c r="AO37" s="216">
        <v>0</v>
      </c>
      <c r="AP37" s="215"/>
      <c r="AQ37" s="215">
        <v>3</v>
      </c>
      <c r="AR37" s="216"/>
      <c r="AS37" s="205">
        <f t="shared" si="0"/>
        <v>457.52000000000004</v>
      </c>
      <c r="AT37" s="39"/>
      <c r="AU37" s="39"/>
      <c r="AV37" s="39"/>
      <c r="AW37" s="39"/>
      <c r="AX37" s="216"/>
    </row>
    <row r="38" spans="1:50" ht="11.25" customHeight="1" hidden="1" outlineLevel="1">
      <c r="A38" s="220" t="s">
        <v>299</v>
      </c>
      <c r="B38" s="215">
        <v>0</v>
      </c>
      <c r="C38" s="215">
        <v>0</v>
      </c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6">
        <v>0</v>
      </c>
      <c r="Q38" s="216">
        <v>0</v>
      </c>
      <c r="R38" s="216">
        <v>0</v>
      </c>
      <c r="S38" s="216">
        <v>0</v>
      </c>
      <c r="T38" s="216">
        <v>0</v>
      </c>
      <c r="U38" s="216">
        <v>0</v>
      </c>
      <c r="V38" s="216">
        <v>0</v>
      </c>
      <c r="W38" s="216">
        <v>0</v>
      </c>
      <c r="X38" s="216">
        <v>0</v>
      </c>
      <c r="Y38" s="215">
        <v>0</v>
      </c>
      <c r="Z38" s="215">
        <v>0</v>
      </c>
      <c r="AA38" s="215">
        <v>0</v>
      </c>
      <c r="AB38" s="215">
        <v>0</v>
      </c>
      <c r="AC38" s="215">
        <v>0</v>
      </c>
      <c r="AD38" s="215">
        <v>0</v>
      </c>
      <c r="AE38" s="215">
        <v>0</v>
      </c>
      <c r="AF38" s="215">
        <v>0</v>
      </c>
      <c r="AG38" s="215">
        <v>0</v>
      </c>
      <c r="AH38" s="215">
        <v>0</v>
      </c>
      <c r="AI38" s="215">
        <v>0</v>
      </c>
      <c r="AJ38" s="215">
        <v>0</v>
      </c>
      <c r="AK38" s="215">
        <v>0</v>
      </c>
      <c r="AL38" s="216">
        <v>0</v>
      </c>
      <c r="AM38" s="216">
        <v>0</v>
      </c>
      <c r="AN38" s="216">
        <v>0</v>
      </c>
      <c r="AO38" s="216">
        <v>0</v>
      </c>
      <c r="AP38" s="216">
        <v>0</v>
      </c>
      <c r="AQ38" s="216">
        <v>0</v>
      </c>
      <c r="AR38" s="216"/>
      <c r="AS38" s="205">
        <f t="shared" si="0"/>
        <v>0</v>
      </c>
      <c r="AT38" s="39"/>
      <c r="AU38" s="39"/>
      <c r="AV38" s="39"/>
      <c r="AW38" s="39"/>
      <c r="AX38" s="216"/>
    </row>
    <row r="39" spans="1:50" ht="11.25" customHeight="1" hidden="1" outlineLevel="1">
      <c r="A39" s="220" t="s">
        <v>300</v>
      </c>
      <c r="B39" s="215">
        <v>0</v>
      </c>
      <c r="C39" s="215">
        <v>0</v>
      </c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0</v>
      </c>
      <c r="K39" s="215">
        <v>0</v>
      </c>
      <c r="L39" s="215">
        <v>0</v>
      </c>
      <c r="M39" s="215">
        <v>0</v>
      </c>
      <c r="N39" s="215">
        <v>0</v>
      </c>
      <c r="O39" s="215">
        <v>0</v>
      </c>
      <c r="P39" s="216">
        <v>0</v>
      </c>
      <c r="Q39" s="216">
        <v>0</v>
      </c>
      <c r="R39" s="216">
        <v>0</v>
      </c>
      <c r="S39" s="216">
        <v>0</v>
      </c>
      <c r="T39" s="216">
        <v>0</v>
      </c>
      <c r="U39" s="216">
        <v>0</v>
      </c>
      <c r="V39" s="216">
        <v>0</v>
      </c>
      <c r="W39" s="216">
        <v>0</v>
      </c>
      <c r="X39" s="216">
        <v>0</v>
      </c>
      <c r="Y39" s="215">
        <v>0</v>
      </c>
      <c r="Z39" s="215">
        <v>0</v>
      </c>
      <c r="AA39" s="215">
        <v>13</v>
      </c>
      <c r="AB39" s="215">
        <v>0</v>
      </c>
      <c r="AC39" s="215">
        <v>0</v>
      </c>
      <c r="AD39" s="215">
        <v>0</v>
      </c>
      <c r="AE39" s="215">
        <v>0</v>
      </c>
      <c r="AF39" s="215">
        <v>0</v>
      </c>
      <c r="AG39" s="215">
        <v>0</v>
      </c>
      <c r="AH39" s="215">
        <v>0</v>
      </c>
      <c r="AI39" s="215">
        <v>0</v>
      </c>
      <c r="AJ39" s="215">
        <v>0</v>
      </c>
      <c r="AK39" s="215">
        <v>0</v>
      </c>
      <c r="AL39" s="216">
        <v>0</v>
      </c>
      <c r="AM39" s="216">
        <v>0</v>
      </c>
      <c r="AN39" s="216">
        <v>0</v>
      </c>
      <c r="AO39" s="216">
        <v>0</v>
      </c>
      <c r="AP39" s="216">
        <v>0</v>
      </c>
      <c r="AQ39" s="216">
        <v>0</v>
      </c>
      <c r="AR39" s="216"/>
      <c r="AS39" s="205">
        <f t="shared" si="0"/>
        <v>13</v>
      </c>
      <c r="AT39" s="39"/>
      <c r="AU39" s="39"/>
      <c r="AV39" s="39"/>
      <c r="AW39" s="39"/>
      <c r="AX39" s="216"/>
    </row>
    <row r="40" spans="1:50" ht="11.25" customHeight="1" hidden="1" outlineLevel="1">
      <c r="A40" s="220" t="s">
        <v>301</v>
      </c>
      <c r="B40" s="215">
        <v>1.2</v>
      </c>
      <c r="C40" s="215">
        <v>0</v>
      </c>
      <c r="D40" s="215">
        <v>0</v>
      </c>
      <c r="E40" s="215">
        <v>0</v>
      </c>
      <c r="F40" s="215">
        <v>70</v>
      </c>
      <c r="G40" s="215">
        <v>230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6">
        <v>0</v>
      </c>
      <c r="Q40" s="216">
        <v>0</v>
      </c>
      <c r="R40" s="216">
        <v>0</v>
      </c>
      <c r="S40" s="216">
        <v>0</v>
      </c>
      <c r="T40" s="216">
        <v>0</v>
      </c>
      <c r="U40" s="216">
        <v>0</v>
      </c>
      <c r="V40" s="216">
        <v>0</v>
      </c>
      <c r="W40" s="216">
        <v>0</v>
      </c>
      <c r="X40" s="216">
        <v>0</v>
      </c>
      <c r="Y40" s="215">
        <v>2143</v>
      </c>
      <c r="Z40" s="215">
        <v>27</v>
      </c>
      <c r="AA40" s="215">
        <v>0</v>
      </c>
      <c r="AB40" s="215">
        <v>0</v>
      </c>
      <c r="AC40" s="215">
        <v>0</v>
      </c>
      <c r="AD40" s="215">
        <v>0</v>
      </c>
      <c r="AE40" s="215">
        <v>196</v>
      </c>
      <c r="AF40" s="215">
        <v>891.826</v>
      </c>
      <c r="AG40" s="215">
        <v>406.239</v>
      </c>
      <c r="AH40" s="215">
        <v>143.387</v>
      </c>
      <c r="AI40" s="215">
        <v>0</v>
      </c>
      <c r="AJ40" s="215">
        <v>0</v>
      </c>
      <c r="AK40" s="215">
        <v>0</v>
      </c>
      <c r="AL40" s="216">
        <v>0</v>
      </c>
      <c r="AM40" s="216">
        <v>0</v>
      </c>
      <c r="AN40" s="216">
        <v>0</v>
      </c>
      <c r="AO40" s="216">
        <v>0</v>
      </c>
      <c r="AP40" s="216">
        <v>0</v>
      </c>
      <c r="AQ40" s="216">
        <v>0</v>
      </c>
      <c r="AR40" s="216"/>
      <c r="AS40" s="205">
        <f t="shared" si="0"/>
        <v>4108.652</v>
      </c>
      <c r="AT40" s="39"/>
      <c r="AU40" s="39"/>
      <c r="AV40" s="39"/>
      <c r="AW40" s="39"/>
      <c r="AX40" s="216"/>
    </row>
    <row r="41" spans="1:50" ht="11.25" customHeight="1" collapsed="1">
      <c r="A41" s="219" t="s">
        <v>429</v>
      </c>
      <c r="B41" s="39">
        <f>SUM(B36:B40)</f>
        <v>919</v>
      </c>
      <c r="C41" s="39">
        <f aca="true" t="shared" si="4" ref="C41:AQ41">SUM(C36:C40)</f>
        <v>166</v>
      </c>
      <c r="D41" s="39">
        <f t="shared" si="4"/>
        <v>22</v>
      </c>
      <c r="E41" s="39">
        <f t="shared" si="4"/>
        <v>626</v>
      </c>
      <c r="F41" s="39">
        <f t="shared" si="4"/>
        <v>70</v>
      </c>
      <c r="G41" s="39">
        <f t="shared" si="4"/>
        <v>230</v>
      </c>
      <c r="H41" s="39">
        <f t="shared" si="4"/>
        <v>132</v>
      </c>
      <c r="I41" s="39">
        <f t="shared" si="4"/>
        <v>8</v>
      </c>
      <c r="J41" s="39">
        <f t="shared" si="4"/>
        <v>0</v>
      </c>
      <c r="K41" s="39">
        <f t="shared" si="4"/>
        <v>300</v>
      </c>
      <c r="L41" s="39">
        <f t="shared" si="4"/>
        <v>1350</v>
      </c>
      <c r="M41" s="39">
        <f t="shared" si="4"/>
        <v>240</v>
      </c>
      <c r="N41" s="39">
        <f t="shared" si="4"/>
        <v>615</v>
      </c>
      <c r="O41" s="39">
        <f t="shared" si="4"/>
        <v>102</v>
      </c>
      <c r="P41" s="39">
        <f t="shared" si="4"/>
        <v>4024</v>
      </c>
      <c r="Q41" s="39">
        <f t="shared" si="4"/>
        <v>16423</v>
      </c>
      <c r="R41" s="39">
        <f t="shared" si="4"/>
        <v>1007</v>
      </c>
      <c r="S41" s="39">
        <f t="shared" si="4"/>
        <v>0</v>
      </c>
      <c r="T41" s="39">
        <f t="shared" si="4"/>
        <v>51843</v>
      </c>
      <c r="U41" s="39">
        <f t="shared" si="4"/>
        <v>2201</v>
      </c>
      <c r="V41" s="39">
        <f t="shared" si="4"/>
        <v>0</v>
      </c>
      <c r="W41" s="39">
        <f t="shared" si="4"/>
        <v>160</v>
      </c>
      <c r="X41" s="39">
        <f t="shared" si="4"/>
        <v>286</v>
      </c>
      <c r="Y41" s="39">
        <f t="shared" si="4"/>
        <v>2143</v>
      </c>
      <c r="Z41" s="39">
        <f t="shared" si="4"/>
        <v>27</v>
      </c>
      <c r="AA41" s="39">
        <f t="shared" si="4"/>
        <v>109</v>
      </c>
      <c r="AB41" s="39">
        <f t="shared" si="4"/>
        <v>0</v>
      </c>
      <c r="AC41" s="39">
        <f t="shared" si="4"/>
        <v>97</v>
      </c>
      <c r="AD41" s="39">
        <f t="shared" si="4"/>
        <v>222</v>
      </c>
      <c r="AE41" s="39">
        <f t="shared" si="4"/>
        <v>196</v>
      </c>
      <c r="AF41" s="39">
        <f t="shared" si="4"/>
        <v>5066.716</v>
      </c>
      <c r="AG41" s="39">
        <f t="shared" si="4"/>
        <v>7689.849999999999</v>
      </c>
      <c r="AH41" s="39">
        <f t="shared" si="4"/>
        <v>2105.107</v>
      </c>
      <c r="AI41" s="39">
        <f t="shared" si="4"/>
        <v>-4</v>
      </c>
      <c r="AJ41" s="39">
        <f t="shared" si="4"/>
        <v>0</v>
      </c>
      <c r="AK41" s="39">
        <f t="shared" si="4"/>
        <v>0</v>
      </c>
      <c r="AL41" s="39">
        <f t="shared" si="4"/>
        <v>1180.258</v>
      </c>
      <c r="AM41" s="39">
        <f t="shared" si="4"/>
        <v>5830.706</v>
      </c>
      <c r="AN41" s="39">
        <f t="shared" si="4"/>
        <v>3490.036</v>
      </c>
      <c r="AO41" s="39">
        <f t="shared" si="4"/>
        <v>0</v>
      </c>
      <c r="AP41" s="39">
        <f t="shared" si="4"/>
        <v>48</v>
      </c>
      <c r="AQ41" s="39">
        <f t="shared" si="4"/>
        <v>120</v>
      </c>
      <c r="AR41" s="39"/>
      <c r="AS41" s="205">
        <f t="shared" si="0"/>
        <v>109044.67300000001</v>
      </c>
      <c r="AT41" s="39"/>
      <c r="AU41" s="39"/>
      <c r="AV41" s="39"/>
      <c r="AW41" s="39"/>
      <c r="AX41" s="39"/>
    </row>
    <row r="42" spans="1:49" ht="11.25" customHeight="1">
      <c r="A42" s="219"/>
      <c r="B42" s="217"/>
      <c r="C42" s="217"/>
      <c r="D42" s="215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6"/>
      <c r="Q42" s="216"/>
      <c r="R42" s="216"/>
      <c r="S42" s="216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P42" s="218"/>
      <c r="AQ42" s="218"/>
      <c r="AT42" s="39"/>
      <c r="AU42" s="39"/>
      <c r="AV42" s="39"/>
      <c r="AW42" s="39"/>
    </row>
    <row r="43" spans="1:49" ht="11.25" customHeight="1" hidden="1" outlineLevel="1">
      <c r="A43" s="219" t="s">
        <v>303</v>
      </c>
      <c r="B43" s="217"/>
      <c r="C43" s="217"/>
      <c r="D43" s="215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6"/>
      <c r="Q43" s="216"/>
      <c r="R43" s="216"/>
      <c r="S43" s="216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P43" s="218"/>
      <c r="AQ43" s="218"/>
      <c r="AT43" s="39"/>
      <c r="AU43" s="39"/>
      <c r="AV43" s="39"/>
      <c r="AW43" s="39"/>
    </row>
    <row r="44" spans="1:50" ht="11.25" customHeight="1" hidden="1" outlineLevel="1">
      <c r="A44" s="220" t="s">
        <v>297</v>
      </c>
      <c r="B44" s="215">
        <v>2093</v>
      </c>
      <c r="C44" s="215">
        <v>388</v>
      </c>
      <c r="D44" s="215">
        <v>230</v>
      </c>
      <c r="E44" s="215">
        <v>638</v>
      </c>
      <c r="F44" s="215">
        <v>1398</v>
      </c>
      <c r="G44" s="215">
        <v>2260</v>
      </c>
      <c r="H44" s="215">
        <v>0</v>
      </c>
      <c r="I44" s="215">
        <v>0</v>
      </c>
      <c r="J44" s="215">
        <v>0</v>
      </c>
      <c r="K44" s="215">
        <v>300</v>
      </c>
      <c r="L44" s="215">
        <v>1350</v>
      </c>
      <c r="M44" s="215">
        <v>0</v>
      </c>
      <c r="N44" s="215">
        <v>0</v>
      </c>
      <c r="O44" s="215">
        <v>0</v>
      </c>
      <c r="P44" s="216">
        <v>6280</v>
      </c>
      <c r="Q44" s="216">
        <v>26989</v>
      </c>
      <c r="R44" s="216">
        <v>1750</v>
      </c>
      <c r="S44" s="216">
        <v>0</v>
      </c>
      <c r="T44" s="215">
        <v>28486</v>
      </c>
      <c r="U44" s="215">
        <v>1106</v>
      </c>
      <c r="V44" s="215">
        <v>1194</v>
      </c>
      <c r="W44" s="215">
        <v>171</v>
      </c>
      <c r="X44" s="215">
        <v>306</v>
      </c>
      <c r="Y44" s="215">
        <v>0</v>
      </c>
      <c r="Z44" s="215">
        <v>0</v>
      </c>
      <c r="AA44" s="215">
        <v>212</v>
      </c>
      <c r="AB44" s="215">
        <v>1331</v>
      </c>
      <c r="AC44" s="215">
        <v>32</v>
      </c>
      <c r="AD44" s="215">
        <v>74</v>
      </c>
      <c r="AE44" s="215">
        <v>225</v>
      </c>
      <c r="AF44" s="215">
        <v>9174.93</v>
      </c>
      <c r="AG44" s="215">
        <v>15313.549</v>
      </c>
      <c r="AH44" s="215">
        <v>4086.573</v>
      </c>
      <c r="AI44" s="215">
        <v>0</v>
      </c>
      <c r="AJ44" s="215">
        <v>0</v>
      </c>
      <c r="AK44" s="215">
        <v>0</v>
      </c>
      <c r="AL44" s="216">
        <v>0</v>
      </c>
      <c r="AM44" s="216">
        <v>0</v>
      </c>
      <c r="AN44" s="216">
        <v>0</v>
      </c>
      <c r="AO44" s="216">
        <v>0</v>
      </c>
      <c r="AP44" s="216">
        <v>0</v>
      </c>
      <c r="AQ44" s="215">
        <v>2295</v>
      </c>
      <c r="AR44" s="216"/>
      <c r="AS44" s="205">
        <f t="shared" si="0"/>
        <v>107683.052</v>
      </c>
      <c r="AT44" s="39"/>
      <c r="AU44" s="39"/>
      <c r="AV44" s="39"/>
      <c r="AW44" s="39"/>
      <c r="AX44" s="216"/>
    </row>
    <row r="45" spans="1:50" ht="11.25" customHeight="1" hidden="1" outlineLevel="1">
      <c r="A45" s="220" t="s">
        <v>304</v>
      </c>
      <c r="B45" s="215">
        <v>83</v>
      </c>
      <c r="C45" s="215">
        <v>15</v>
      </c>
      <c r="D45" s="215">
        <v>7</v>
      </c>
      <c r="E45" s="215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215">
        <v>0</v>
      </c>
      <c r="M45" s="215">
        <v>462</v>
      </c>
      <c r="N45" s="215">
        <v>1185</v>
      </c>
      <c r="O45" s="215">
        <v>0</v>
      </c>
      <c r="P45" s="216"/>
      <c r="Q45" s="216"/>
      <c r="R45" s="216"/>
      <c r="S45" s="216"/>
      <c r="T45" s="215"/>
      <c r="U45" s="215"/>
      <c r="V45" s="215"/>
      <c r="W45" s="215"/>
      <c r="X45" s="215"/>
      <c r="Y45" s="215">
        <v>5136</v>
      </c>
      <c r="Z45" s="215">
        <v>0</v>
      </c>
      <c r="AA45" s="215">
        <v>0</v>
      </c>
      <c r="AB45" s="215">
        <v>0</v>
      </c>
      <c r="AC45" s="215">
        <v>0</v>
      </c>
      <c r="AD45" s="215">
        <v>0</v>
      </c>
      <c r="AE45" s="215">
        <v>0</v>
      </c>
      <c r="AF45" s="215">
        <v>0</v>
      </c>
      <c r="AG45" s="215">
        <v>0</v>
      </c>
      <c r="AH45" s="215">
        <v>0</v>
      </c>
      <c r="AI45" s="215">
        <v>0</v>
      </c>
      <c r="AJ45" s="215">
        <v>0</v>
      </c>
      <c r="AK45" s="215">
        <v>0</v>
      </c>
      <c r="AL45" s="216">
        <v>966.495</v>
      </c>
      <c r="AM45" s="216">
        <v>4698.579</v>
      </c>
      <c r="AN45" s="216">
        <v>2817.957</v>
      </c>
      <c r="AO45" s="216">
        <v>0</v>
      </c>
      <c r="AP45" s="216">
        <v>0</v>
      </c>
      <c r="AQ45" s="216">
        <v>0</v>
      </c>
      <c r="AR45" s="216"/>
      <c r="AS45" s="205">
        <f t="shared" si="0"/>
        <v>15371.031</v>
      </c>
      <c r="AT45" s="39"/>
      <c r="AU45" s="39"/>
      <c r="AV45" s="39"/>
      <c r="AW45" s="39"/>
      <c r="AX45" s="216"/>
    </row>
    <row r="46" spans="1:50" ht="11.25" customHeight="1" collapsed="1">
      <c r="A46" s="219" t="s">
        <v>303</v>
      </c>
      <c r="B46" s="215">
        <f aca="true" t="shared" si="5" ref="B46:AQ46">SUM(B44:B45)</f>
        <v>2176</v>
      </c>
      <c r="C46" s="215">
        <f t="shared" si="5"/>
        <v>403</v>
      </c>
      <c r="D46" s="215">
        <f t="shared" si="5"/>
        <v>237</v>
      </c>
      <c r="E46" s="215">
        <f t="shared" si="5"/>
        <v>638</v>
      </c>
      <c r="F46" s="215">
        <f t="shared" si="5"/>
        <v>1398</v>
      </c>
      <c r="G46" s="215">
        <f t="shared" si="5"/>
        <v>2260</v>
      </c>
      <c r="H46" s="215">
        <f t="shared" si="5"/>
        <v>0</v>
      </c>
      <c r="I46" s="215">
        <f t="shared" si="5"/>
        <v>0</v>
      </c>
      <c r="J46" s="215">
        <f t="shared" si="5"/>
        <v>0</v>
      </c>
      <c r="K46" s="215">
        <f t="shared" si="5"/>
        <v>300</v>
      </c>
      <c r="L46" s="215">
        <f t="shared" si="5"/>
        <v>1350</v>
      </c>
      <c r="M46" s="215">
        <f t="shared" si="5"/>
        <v>462</v>
      </c>
      <c r="N46" s="215">
        <f t="shared" si="5"/>
        <v>1185</v>
      </c>
      <c r="O46" s="215">
        <f t="shared" si="5"/>
        <v>0</v>
      </c>
      <c r="P46" s="215">
        <f t="shared" si="5"/>
        <v>6280</v>
      </c>
      <c r="Q46" s="215">
        <f t="shared" si="5"/>
        <v>26989</v>
      </c>
      <c r="R46" s="215">
        <f t="shared" si="5"/>
        <v>1750</v>
      </c>
      <c r="S46" s="215">
        <f t="shared" si="5"/>
        <v>0</v>
      </c>
      <c r="T46" s="215">
        <f t="shared" si="5"/>
        <v>28486</v>
      </c>
      <c r="U46" s="215">
        <f t="shared" si="5"/>
        <v>1106</v>
      </c>
      <c r="V46" s="215">
        <f t="shared" si="5"/>
        <v>1194</v>
      </c>
      <c r="W46" s="215">
        <f t="shared" si="5"/>
        <v>171</v>
      </c>
      <c r="X46" s="215">
        <f t="shared" si="5"/>
        <v>306</v>
      </c>
      <c r="Y46" s="215">
        <f t="shared" si="5"/>
        <v>5136</v>
      </c>
      <c r="Z46" s="215">
        <f t="shared" si="5"/>
        <v>0</v>
      </c>
      <c r="AA46" s="215">
        <f t="shared" si="5"/>
        <v>212</v>
      </c>
      <c r="AB46" s="215">
        <f t="shared" si="5"/>
        <v>1331</v>
      </c>
      <c r="AC46" s="215">
        <f t="shared" si="5"/>
        <v>32</v>
      </c>
      <c r="AD46" s="215">
        <f t="shared" si="5"/>
        <v>74</v>
      </c>
      <c r="AE46" s="215">
        <f t="shared" si="5"/>
        <v>225</v>
      </c>
      <c r="AF46" s="215">
        <f t="shared" si="5"/>
        <v>9174.93</v>
      </c>
      <c r="AG46" s="215">
        <f t="shared" si="5"/>
        <v>15313.549</v>
      </c>
      <c r="AH46" s="215">
        <f t="shared" si="5"/>
        <v>4086.573</v>
      </c>
      <c r="AI46" s="215">
        <f t="shared" si="5"/>
        <v>0</v>
      </c>
      <c r="AJ46" s="215">
        <f t="shared" si="5"/>
        <v>0</v>
      </c>
      <c r="AK46" s="215">
        <f t="shared" si="5"/>
        <v>0</v>
      </c>
      <c r="AL46" s="215">
        <f t="shared" si="5"/>
        <v>966.495</v>
      </c>
      <c r="AM46" s="215">
        <f t="shared" si="5"/>
        <v>4698.579</v>
      </c>
      <c r="AN46" s="215">
        <f t="shared" si="5"/>
        <v>2817.957</v>
      </c>
      <c r="AO46" s="215">
        <f t="shared" si="5"/>
        <v>0</v>
      </c>
      <c r="AP46" s="215">
        <f t="shared" si="5"/>
        <v>0</v>
      </c>
      <c r="AQ46" s="215">
        <f t="shared" si="5"/>
        <v>2295</v>
      </c>
      <c r="AR46" s="39"/>
      <c r="AS46" s="205">
        <f t="shared" si="0"/>
        <v>123054.08299999998</v>
      </c>
      <c r="AT46" s="39"/>
      <c r="AU46" s="39"/>
      <c r="AV46" s="39"/>
      <c r="AW46" s="39"/>
      <c r="AX46" s="39"/>
    </row>
    <row r="47" spans="1:49" ht="11.25" customHeight="1">
      <c r="A47" s="220"/>
      <c r="B47" s="217"/>
      <c r="C47" s="217"/>
      <c r="D47" s="21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6"/>
      <c r="Q47" s="216"/>
      <c r="R47" s="216"/>
      <c r="S47" s="216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P47" s="218"/>
      <c r="AQ47" s="218"/>
      <c r="AT47" s="39"/>
      <c r="AU47" s="39"/>
      <c r="AV47" s="39"/>
      <c r="AW47" s="39"/>
    </row>
    <row r="48" spans="1:50" ht="11.25" customHeight="1">
      <c r="A48" s="219" t="s">
        <v>306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216">
        <v>0</v>
      </c>
      <c r="Q48" s="216">
        <v>0</v>
      </c>
      <c r="R48" s="216">
        <v>0</v>
      </c>
      <c r="S48" s="216">
        <v>0</v>
      </c>
      <c r="T48" s="216">
        <v>0</v>
      </c>
      <c r="U48" s="216">
        <v>0</v>
      </c>
      <c r="V48" s="216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0.3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3</v>
      </c>
      <c r="AN48" s="39">
        <v>52.836</v>
      </c>
      <c r="AO48" s="39">
        <v>0</v>
      </c>
      <c r="AP48" s="39">
        <v>0</v>
      </c>
      <c r="AQ48" s="39">
        <v>0</v>
      </c>
      <c r="AR48" s="39"/>
      <c r="AS48" s="205">
        <f t="shared" si="0"/>
        <v>56.135999999999996</v>
      </c>
      <c r="AT48" s="39"/>
      <c r="AU48" s="39"/>
      <c r="AV48" s="39"/>
      <c r="AW48" s="39"/>
      <c r="AX48" s="39"/>
    </row>
    <row r="49" spans="1:49" ht="11.25" customHeight="1" hidden="1" outlineLevel="1">
      <c r="A49" s="220"/>
      <c r="B49" s="217"/>
      <c r="C49" s="217"/>
      <c r="D49" s="215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6"/>
      <c r="Q49" s="216"/>
      <c r="R49" s="216"/>
      <c r="S49" s="216"/>
      <c r="T49" s="216"/>
      <c r="U49" s="216"/>
      <c r="V49" s="216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P49" s="218"/>
      <c r="AQ49" s="218"/>
      <c r="AT49" s="39"/>
      <c r="AU49" s="39"/>
      <c r="AV49" s="39"/>
      <c r="AW49" s="39"/>
    </row>
    <row r="50" spans="1:50" ht="11.25" customHeight="1" hidden="1" outlineLevel="1">
      <c r="A50" s="219" t="s">
        <v>307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216">
        <v>0</v>
      </c>
      <c r="Q50" s="216">
        <v>0</v>
      </c>
      <c r="R50" s="216">
        <v>0</v>
      </c>
      <c r="S50" s="216">
        <v>0</v>
      </c>
      <c r="T50" s="216">
        <v>0</v>
      </c>
      <c r="U50" s="216">
        <v>0</v>
      </c>
      <c r="V50" s="216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/>
      <c r="AS50" s="205">
        <f t="shared" si="0"/>
        <v>0</v>
      </c>
      <c r="AT50" s="39"/>
      <c r="AU50" s="39"/>
      <c r="AV50" s="39"/>
      <c r="AW50" s="39"/>
      <c r="AX50" s="39"/>
    </row>
    <row r="51" spans="1:49" ht="11.25" customHeight="1" hidden="1" outlineLevel="1">
      <c r="A51" s="220"/>
      <c r="B51" s="217"/>
      <c r="C51" s="217"/>
      <c r="D51" s="215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6"/>
      <c r="Q51" s="216"/>
      <c r="R51" s="216"/>
      <c r="S51" s="216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P51" s="218"/>
      <c r="AQ51" s="218"/>
      <c r="AT51" s="39"/>
      <c r="AU51" s="39"/>
      <c r="AV51" s="39"/>
      <c r="AW51" s="39"/>
    </row>
    <row r="52" spans="1:49" ht="11.25" customHeight="1" collapsed="1">
      <c r="A52" s="219" t="s">
        <v>308</v>
      </c>
      <c r="B52" s="217"/>
      <c r="C52" s="217"/>
      <c r="D52" s="215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6"/>
      <c r="Q52" s="216"/>
      <c r="R52" s="216"/>
      <c r="S52" s="216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P52" s="218"/>
      <c r="AQ52" s="218"/>
      <c r="AT52" s="39"/>
      <c r="AU52" s="39"/>
      <c r="AV52" s="39"/>
      <c r="AW52" s="39"/>
    </row>
    <row r="53" spans="1:50" ht="11.25" customHeight="1">
      <c r="A53" s="219" t="s">
        <v>309</v>
      </c>
      <c r="B53" s="39">
        <f aca="true" t="shared" si="6" ref="B53:AQ53">+B14-B21+B33-B41-B46+B48-B50</f>
        <v>519278</v>
      </c>
      <c r="C53" s="39">
        <f t="shared" si="6"/>
        <v>213653</v>
      </c>
      <c r="D53" s="39">
        <f t="shared" si="6"/>
        <v>130072.9</v>
      </c>
      <c r="E53" s="39">
        <f t="shared" si="6"/>
        <v>853626</v>
      </c>
      <c r="F53" s="39">
        <f t="shared" si="6"/>
        <v>79594</v>
      </c>
      <c r="G53" s="39">
        <f t="shared" si="6"/>
        <v>297937</v>
      </c>
      <c r="H53" s="39">
        <f t="shared" si="6"/>
        <v>49632</v>
      </c>
      <c r="I53" s="39">
        <f t="shared" si="6"/>
        <v>2647</v>
      </c>
      <c r="J53" s="39">
        <f t="shared" si="6"/>
        <v>9419</v>
      </c>
      <c r="K53" s="39">
        <f t="shared" si="6"/>
        <v>68306</v>
      </c>
      <c r="L53" s="39">
        <f t="shared" si="6"/>
        <v>427281</v>
      </c>
      <c r="M53" s="39">
        <f t="shared" si="6"/>
        <v>60122</v>
      </c>
      <c r="N53" s="39">
        <f t="shared" si="6"/>
        <v>211271</v>
      </c>
      <c r="O53" s="39">
        <f t="shared" si="6"/>
        <v>57971</v>
      </c>
      <c r="P53" s="39">
        <f t="shared" si="6"/>
        <v>1257852</v>
      </c>
      <c r="Q53" s="39">
        <f t="shared" si="6"/>
        <v>2681309</v>
      </c>
      <c r="R53" s="39">
        <f t="shared" si="6"/>
        <v>548207</v>
      </c>
      <c r="S53" s="39">
        <f t="shared" si="6"/>
        <v>487684</v>
      </c>
      <c r="T53" s="39">
        <f t="shared" si="6"/>
        <v>3249859</v>
      </c>
      <c r="U53" s="39">
        <f t="shared" si="6"/>
        <v>297176</v>
      </c>
      <c r="V53" s="39">
        <f t="shared" si="6"/>
        <v>1357895</v>
      </c>
      <c r="W53" s="39">
        <f t="shared" si="6"/>
        <v>9705</v>
      </c>
      <c r="X53" s="39">
        <f t="shared" si="6"/>
        <v>162002</v>
      </c>
      <c r="Y53" s="39">
        <f t="shared" si="6"/>
        <v>227101</v>
      </c>
      <c r="Z53" s="39">
        <f t="shared" si="6"/>
        <v>23149</v>
      </c>
      <c r="AA53" s="39">
        <f t="shared" si="6"/>
        <v>56638</v>
      </c>
      <c r="AB53" s="39">
        <f t="shared" si="6"/>
        <v>198777</v>
      </c>
      <c r="AC53" s="39">
        <f t="shared" si="6"/>
        <v>8755</v>
      </c>
      <c r="AD53" s="39">
        <f t="shared" si="6"/>
        <v>23742</v>
      </c>
      <c r="AE53" s="39">
        <f t="shared" si="6"/>
        <v>23531.3</v>
      </c>
      <c r="AF53" s="39">
        <f t="shared" si="6"/>
        <v>361206.6320000001</v>
      </c>
      <c r="AG53" s="39">
        <f t="shared" si="6"/>
        <v>941995.5830000001</v>
      </c>
      <c r="AH53" s="39">
        <f t="shared" si="6"/>
        <v>239359.09000000003</v>
      </c>
      <c r="AI53" s="39">
        <f t="shared" si="6"/>
        <v>56559</v>
      </c>
      <c r="AJ53" s="39">
        <f t="shared" si="6"/>
        <v>16201</v>
      </c>
      <c r="AK53" s="39">
        <f t="shared" si="6"/>
        <v>12353</v>
      </c>
      <c r="AL53" s="39">
        <f t="shared" si="6"/>
        <v>46800.98399999999</v>
      </c>
      <c r="AM53" s="39">
        <f t="shared" si="6"/>
        <v>750967.561</v>
      </c>
      <c r="AN53" s="39">
        <f t="shared" si="6"/>
        <v>482531.819</v>
      </c>
      <c r="AO53" s="39">
        <f t="shared" si="6"/>
        <v>295274.334</v>
      </c>
      <c r="AP53" s="39">
        <f t="shared" si="6"/>
        <v>5681</v>
      </c>
      <c r="AQ53" s="39">
        <f t="shared" si="6"/>
        <v>218425</v>
      </c>
      <c r="AR53" s="39"/>
      <c r="AS53" s="205">
        <f t="shared" si="0"/>
        <v>17021547.203</v>
      </c>
      <c r="AT53" s="39"/>
      <c r="AU53" s="39"/>
      <c r="AV53" s="39"/>
      <c r="AW53" s="39"/>
      <c r="AX53" s="39"/>
    </row>
    <row r="54" spans="1:49" ht="11.25" customHeight="1">
      <c r="A54" s="220"/>
      <c r="B54" s="217"/>
      <c r="C54" s="217"/>
      <c r="D54" s="215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6"/>
      <c r="Q54" s="216"/>
      <c r="R54" s="216"/>
      <c r="S54" s="216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P54" s="218"/>
      <c r="AQ54" s="218"/>
      <c r="AT54" s="39"/>
      <c r="AU54" s="39"/>
      <c r="AV54" s="39"/>
      <c r="AW54" s="39"/>
    </row>
    <row r="55" spans="1:50" ht="11.25" customHeight="1" hidden="1" outlineLevel="1">
      <c r="A55" s="219" t="s">
        <v>310</v>
      </c>
      <c r="B55" s="217">
        <f>+B56-B57</f>
        <v>0</v>
      </c>
      <c r="C55" s="217">
        <f aca="true" t="shared" si="7" ref="C55:AQ55">+C56-C57</f>
        <v>0</v>
      </c>
      <c r="D55" s="217">
        <f t="shared" si="7"/>
        <v>0</v>
      </c>
      <c r="E55" s="217">
        <f t="shared" si="7"/>
        <v>0</v>
      </c>
      <c r="F55" s="217">
        <f t="shared" si="7"/>
        <v>0</v>
      </c>
      <c r="G55" s="217">
        <f t="shared" si="7"/>
        <v>0</v>
      </c>
      <c r="H55" s="217">
        <f t="shared" si="7"/>
        <v>0</v>
      </c>
      <c r="I55" s="217">
        <f t="shared" si="7"/>
        <v>0</v>
      </c>
      <c r="J55" s="217">
        <f t="shared" si="7"/>
        <v>0</v>
      </c>
      <c r="K55" s="217">
        <f t="shared" si="7"/>
        <v>0</v>
      </c>
      <c r="L55" s="217">
        <f t="shared" si="7"/>
        <v>0</v>
      </c>
      <c r="M55" s="217">
        <f t="shared" si="7"/>
        <v>0</v>
      </c>
      <c r="N55" s="217">
        <f t="shared" si="7"/>
        <v>0</v>
      </c>
      <c r="O55" s="217">
        <f t="shared" si="7"/>
        <v>0</v>
      </c>
      <c r="P55" s="217">
        <f t="shared" si="7"/>
        <v>0</v>
      </c>
      <c r="Q55" s="217">
        <f t="shared" si="7"/>
        <v>0</v>
      </c>
      <c r="R55" s="217">
        <f t="shared" si="7"/>
        <v>0</v>
      </c>
      <c r="S55" s="217">
        <f t="shared" si="7"/>
        <v>0</v>
      </c>
      <c r="T55" s="217">
        <f>+T56-T57</f>
        <v>0</v>
      </c>
      <c r="U55" s="217">
        <f>+U56-U57</f>
        <v>0</v>
      </c>
      <c r="V55" s="217">
        <f>+V56-V57</f>
        <v>0</v>
      </c>
      <c r="W55" s="217">
        <f t="shared" si="7"/>
        <v>0</v>
      </c>
      <c r="X55" s="217">
        <f t="shared" si="7"/>
        <v>0</v>
      </c>
      <c r="Y55" s="217">
        <f t="shared" si="7"/>
        <v>0</v>
      </c>
      <c r="Z55" s="217">
        <f t="shared" si="7"/>
        <v>0</v>
      </c>
      <c r="AA55" s="217">
        <f t="shared" si="7"/>
        <v>0</v>
      </c>
      <c r="AB55" s="217">
        <f t="shared" si="7"/>
        <v>0</v>
      </c>
      <c r="AC55" s="217">
        <f t="shared" si="7"/>
        <v>0</v>
      </c>
      <c r="AD55" s="217">
        <f t="shared" si="7"/>
        <v>0</v>
      </c>
      <c r="AE55" s="217">
        <f t="shared" si="7"/>
        <v>0</v>
      </c>
      <c r="AF55" s="217">
        <f t="shared" si="7"/>
        <v>0</v>
      </c>
      <c r="AG55" s="217">
        <f t="shared" si="7"/>
        <v>0</v>
      </c>
      <c r="AH55" s="217">
        <f t="shared" si="7"/>
        <v>0</v>
      </c>
      <c r="AI55" s="217">
        <f t="shared" si="7"/>
        <v>0</v>
      </c>
      <c r="AJ55" s="217">
        <f t="shared" si="7"/>
        <v>0</v>
      </c>
      <c r="AK55" s="217">
        <f t="shared" si="7"/>
        <v>0</v>
      </c>
      <c r="AL55" s="217">
        <f t="shared" si="7"/>
        <v>0</v>
      </c>
      <c r="AM55" s="217">
        <f t="shared" si="7"/>
        <v>0</v>
      </c>
      <c r="AN55" s="217">
        <f t="shared" si="7"/>
        <v>0</v>
      </c>
      <c r="AO55" s="217">
        <f t="shared" si="7"/>
        <v>0</v>
      </c>
      <c r="AP55" s="217">
        <f t="shared" si="7"/>
        <v>0</v>
      </c>
      <c r="AQ55" s="217">
        <f t="shared" si="7"/>
        <v>0</v>
      </c>
      <c r="AR55" s="39"/>
      <c r="AS55" s="205">
        <f t="shared" si="0"/>
        <v>0</v>
      </c>
      <c r="AT55" s="39"/>
      <c r="AU55" s="39"/>
      <c r="AV55" s="39"/>
      <c r="AW55" s="39"/>
      <c r="AX55" s="39"/>
    </row>
    <row r="56" spans="1:50" ht="11.25" customHeight="1" hidden="1" outlineLevel="1">
      <c r="A56" s="220" t="s">
        <v>311</v>
      </c>
      <c r="B56" s="217">
        <v>0</v>
      </c>
      <c r="C56" s="217">
        <v>0</v>
      </c>
      <c r="D56" s="217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16">
        <v>0</v>
      </c>
      <c r="Q56" s="216">
        <v>0</v>
      </c>
      <c r="R56" s="216">
        <v>0</v>
      </c>
      <c r="S56" s="216">
        <v>0</v>
      </c>
      <c r="T56" s="216">
        <v>0</v>
      </c>
      <c r="U56" s="216">
        <v>0</v>
      </c>
      <c r="V56" s="216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/>
      <c r="AS56" s="205">
        <f t="shared" si="0"/>
        <v>0</v>
      </c>
      <c r="AT56" s="39"/>
      <c r="AU56" s="39"/>
      <c r="AV56" s="39"/>
      <c r="AW56" s="39"/>
      <c r="AX56" s="39"/>
    </row>
    <row r="57" spans="1:50" ht="11.25" customHeight="1" hidden="1" outlineLevel="1">
      <c r="A57" s="220" t="s">
        <v>312</v>
      </c>
      <c r="B57" s="217">
        <v>0</v>
      </c>
      <c r="C57" s="217">
        <v>0</v>
      </c>
      <c r="D57" s="217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16">
        <v>0</v>
      </c>
      <c r="Q57" s="216">
        <v>0</v>
      </c>
      <c r="R57" s="216">
        <v>0</v>
      </c>
      <c r="S57" s="216">
        <v>0</v>
      </c>
      <c r="T57" s="216">
        <v>0</v>
      </c>
      <c r="U57" s="216">
        <v>0</v>
      </c>
      <c r="V57" s="216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/>
      <c r="AS57" s="205">
        <f t="shared" si="0"/>
        <v>0</v>
      </c>
      <c r="AT57" s="39"/>
      <c r="AV57" s="39"/>
      <c r="AW57" s="39"/>
      <c r="AX57" s="39"/>
    </row>
    <row r="58" spans="1:49" ht="11.25" customHeight="1" hidden="1" outlineLevel="1">
      <c r="A58" s="219"/>
      <c r="B58" s="217"/>
      <c r="C58" s="217"/>
      <c r="D58" s="215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6"/>
      <c r="Q58" s="216"/>
      <c r="R58" s="216"/>
      <c r="S58" s="216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P58" s="218"/>
      <c r="AQ58" s="218"/>
      <c r="AT58" s="39"/>
      <c r="AU58" s="39"/>
      <c r="AV58" s="39"/>
      <c r="AW58" s="39"/>
    </row>
    <row r="59" spans="1:50" ht="11.25" customHeight="1" hidden="1" outlineLevel="1">
      <c r="A59" s="219" t="s">
        <v>313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16">
        <v>0</v>
      </c>
      <c r="Q59" s="216">
        <v>0</v>
      </c>
      <c r="R59" s="216">
        <v>0</v>
      </c>
      <c r="S59" s="216">
        <v>0</v>
      </c>
      <c r="T59" s="216">
        <v>0</v>
      </c>
      <c r="U59" s="216">
        <v>0</v>
      </c>
      <c r="V59" s="216">
        <v>0</v>
      </c>
      <c r="W59" s="216">
        <v>0</v>
      </c>
      <c r="X59" s="216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/>
      <c r="AS59" s="205">
        <f t="shared" si="0"/>
        <v>0</v>
      </c>
      <c r="AT59" s="39"/>
      <c r="AU59" s="39"/>
      <c r="AV59" s="39"/>
      <c r="AW59" s="39"/>
      <c r="AX59" s="39"/>
    </row>
    <row r="60" spans="1:49" ht="11.25" customHeight="1" hidden="1" outlineLevel="1">
      <c r="A60" s="219"/>
      <c r="B60" s="217"/>
      <c r="C60" s="217"/>
      <c r="D60" s="215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6"/>
      <c r="Q60" s="216"/>
      <c r="R60" s="216"/>
      <c r="S60" s="216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P60" s="218"/>
      <c r="AQ60" s="218"/>
      <c r="AT60" s="39"/>
      <c r="AU60" s="221"/>
      <c r="AV60" s="39"/>
      <c r="AW60" s="39"/>
    </row>
    <row r="61" spans="1:50" ht="11.25" customHeight="1" collapsed="1">
      <c r="A61" s="219" t="s">
        <v>314</v>
      </c>
      <c r="B61" s="39">
        <f>+B53+B55+B59</f>
        <v>519278</v>
      </c>
      <c r="C61" s="39">
        <f aca="true" t="shared" si="8" ref="C61:AQ61">+C53+C55+C59</f>
        <v>213653</v>
      </c>
      <c r="D61" s="39">
        <f t="shared" si="8"/>
        <v>130072.9</v>
      </c>
      <c r="E61" s="39">
        <f t="shared" si="8"/>
        <v>853626</v>
      </c>
      <c r="F61" s="39">
        <f t="shared" si="8"/>
        <v>79594</v>
      </c>
      <c r="G61" s="39">
        <f t="shared" si="8"/>
        <v>297937</v>
      </c>
      <c r="H61" s="39">
        <f t="shared" si="8"/>
        <v>49632</v>
      </c>
      <c r="I61" s="39">
        <f t="shared" si="8"/>
        <v>2647</v>
      </c>
      <c r="J61" s="39">
        <f t="shared" si="8"/>
        <v>9419</v>
      </c>
      <c r="K61" s="39">
        <f t="shared" si="8"/>
        <v>68306</v>
      </c>
      <c r="L61" s="39">
        <f t="shared" si="8"/>
        <v>427281</v>
      </c>
      <c r="M61" s="39">
        <f t="shared" si="8"/>
        <v>60122</v>
      </c>
      <c r="N61" s="39">
        <f t="shared" si="8"/>
        <v>211271</v>
      </c>
      <c r="O61" s="39">
        <f t="shared" si="8"/>
        <v>57971</v>
      </c>
      <c r="P61" s="39">
        <f t="shared" si="8"/>
        <v>1257852</v>
      </c>
      <c r="Q61" s="39">
        <f t="shared" si="8"/>
        <v>2681309</v>
      </c>
      <c r="R61" s="39">
        <f t="shared" si="8"/>
        <v>548207</v>
      </c>
      <c r="S61" s="39">
        <f t="shared" si="8"/>
        <v>487684</v>
      </c>
      <c r="T61" s="39">
        <f t="shared" si="8"/>
        <v>3249859</v>
      </c>
      <c r="U61" s="39">
        <f t="shared" si="8"/>
        <v>297176</v>
      </c>
      <c r="V61" s="39">
        <f t="shared" si="8"/>
        <v>1357895</v>
      </c>
      <c r="W61" s="39">
        <f t="shared" si="8"/>
        <v>9705</v>
      </c>
      <c r="X61" s="39">
        <f t="shared" si="8"/>
        <v>162002</v>
      </c>
      <c r="Y61" s="39">
        <f t="shared" si="8"/>
        <v>227101</v>
      </c>
      <c r="Z61" s="39">
        <f t="shared" si="8"/>
        <v>23149</v>
      </c>
      <c r="AA61" s="39">
        <f t="shared" si="8"/>
        <v>56638</v>
      </c>
      <c r="AB61" s="39">
        <f t="shared" si="8"/>
        <v>198777</v>
      </c>
      <c r="AC61" s="39">
        <f t="shared" si="8"/>
        <v>8755</v>
      </c>
      <c r="AD61" s="39">
        <f t="shared" si="8"/>
        <v>23742</v>
      </c>
      <c r="AE61" s="39">
        <f t="shared" si="8"/>
        <v>23531.3</v>
      </c>
      <c r="AF61" s="39">
        <f t="shared" si="8"/>
        <v>361206.6320000001</v>
      </c>
      <c r="AG61" s="39">
        <f t="shared" si="8"/>
        <v>941995.5830000001</v>
      </c>
      <c r="AH61" s="39">
        <f t="shared" si="8"/>
        <v>239359.09000000003</v>
      </c>
      <c r="AI61" s="39">
        <f t="shared" si="8"/>
        <v>56559</v>
      </c>
      <c r="AJ61" s="39">
        <f t="shared" si="8"/>
        <v>16201</v>
      </c>
      <c r="AK61" s="39">
        <f t="shared" si="8"/>
        <v>12353</v>
      </c>
      <c r="AL61" s="39">
        <f t="shared" si="8"/>
        <v>46800.98399999999</v>
      </c>
      <c r="AM61" s="39">
        <f t="shared" si="8"/>
        <v>750967.561</v>
      </c>
      <c r="AN61" s="39">
        <f t="shared" si="8"/>
        <v>482531.819</v>
      </c>
      <c r="AO61" s="39">
        <f t="shared" si="8"/>
        <v>295274.334</v>
      </c>
      <c r="AP61" s="39">
        <f t="shared" si="8"/>
        <v>5681</v>
      </c>
      <c r="AQ61" s="39">
        <f t="shared" si="8"/>
        <v>218425</v>
      </c>
      <c r="AR61" s="39"/>
      <c r="AS61" s="205">
        <f t="shared" si="0"/>
        <v>17021547.203</v>
      </c>
      <c r="AT61" s="39"/>
      <c r="AU61" s="39"/>
      <c r="AV61" s="39"/>
      <c r="AW61" s="39"/>
      <c r="AX61" s="39"/>
    </row>
    <row r="62" spans="1:49" ht="11.25" customHeight="1">
      <c r="A62" s="220"/>
      <c r="B62" s="217"/>
      <c r="C62" s="217"/>
      <c r="D62" s="215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6"/>
      <c r="Q62" s="216"/>
      <c r="R62" s="216"/>
      <c r="S62" s="216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P62" s="218"/>
      <c r="AQ62" s="218"/>
      <c r="AT62" s="39"/>
      <c r="AU62" s="39"/>
      <c r="AV62" s="39"/>
      <c r="AW62" s="39"/>
    </row>
    <row r="63" spans="1:50" ht="11.25" customHeight="1">
      <c r="A63" s="219" t="s">
        <v>315</v>
      </c>
      <c r="B63" s="39">
        <v>1188746</v>
      </c>
      <c r="C63" s="39">
        <v>194711</v>
      </c>
      <c r="D63" s="39">
        <v>79276</v>
      </c>
      <c r="E63" s="39">
        <v>1068965</v>
      </c>
      <c r="F63" s="39">
        <v>127790</v>
      </c>
      <c r="G63" s="39">
        <v>138733</v>
      </c>
      <c r="H63" s="39">
        <v>58791</v>
      </c>
      <c r="I63" s="39">
        <v>3665</v>
      </c>
      <c r="J63" s="39">
        <v>6149</v>
      </c>
      <c r="K63" s="39">
        <v>122564</v>
      </c>
      <c r="L63" s="39">
        <v>430479</v>
      </c>
      <c r="M63" s="39">
        <v>131913</v>
      </c>
      <c r="N63" s="39">
        <v>309377</v>
      </c>
      <c r="O63" s="39">
        <v>72762</v>
      </c>
      <c r="P63" s="216">
        <v>2640405</v>
      </c>
      <c r="Q63" s="216">
        <v>12885610</v>
      </c>
      <c r="R63" s="216">
        <v>605070</v>
      </c>
      <c r="S63" s="216">
        <v>150221</v>
      </c>
      <c r="T63" s="39">
        <v>15633488</v>
      </c>
      <c r="U63" s="39">
        <v>568220</v>
      </c>
      <c r="V63" s="39">
        <v>1602274</v>
      </c>
      <c r="W63" s="39">
        <v>126425</v>
      </c>
      <c r="X63" s="39">
        <v>83866</v>
      </c>
      <c r="Y63" s="39">
        <v>811726</v>
      </c>
      <c r="Z63" s="39">
        <v>7082</v>
      </c>
      <c r="AA63" s="39">
        <v>49734</v>
      </c>
      <c r="AB63" s="39">
        <v>358186</v>
      </c>
      <c r="AC63" s="39">
        <v>7210</v>
      </c>
      <c r="AD63" s="39">
        <v>18913</v>
      </c>
      <c r="AE63" s="39">
        <v>15646</v>
      </c>
      <c r="AF63" s="39">
        <v>2142712.695</v>
      </c>
      <c r="AG63" s="39">
        <v>2621898.978</v>
      </c>
      <c r="AH63" s="39">
        <v>719685.057</v>
      </c>
      <c r="AI63" s="39">
        <v>164560</v>
      </c>
      <c r="AJ63" s="39">
        <v>20767</v>
      </c>
      <c r="AK63" s="39">
        <v>11941</v>
      </c>
      <c r="AL63" s="39">
        <v>430290.02</v>
      </c>
      <c r="AM63" s="39">
        <v>1838726.115</v>
      </c>
      <c r="AN63" s="39">
        <v>1118934.841</v>
      </c>
      <c r="AO63" s="39">
        <v>60880.346</v>
      </c>
      <c r="AP63" s="39">
        <v>2422</v>
      </c>
      <c r="AQ63" s="39">
        <v>1236483</v>
      </c>
      <c r="AR63" s="39"/>
      <c r="AS63" s="205">
        <f t="shared" si="0"/>
        <v>49867298.05200001</v>
      </c>
      <c r="AT63" s="39"/>
      <c r="AU63" s="39"/>
      <c r="AV63" s="39"/>
      <c r="AW63" s="39"/>
      <c r="AX63" s="39"/>
    </row>
    <row r="64" spans="1:49" ht="11.25" customHeight="1">
      <c r="A64" s="219"/>
      <c r="B64" s="217"/>
      <c r="C64" s="217"/>
      <c r="D64" s="215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6"/>
      <c r="Q64" s="216"/>
      <c r="R64" s="216"/>
      <c r="S64" s="216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P64" s="218"/>
      <c r="AQ64" s="218"/>
      <c r="AT64" s="39"/>
      <c r="AV64" s="39"/>
      <c r="AW64" s="39"/>
    </row>
    <row r="65" spans="1:49" ht="11.25" customHeight="1">
      <c r="A65" s="222"/>
      <c r="B65" s="39"/>
      <c r="C65" s="217"/>
      <c r="D65" s="215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6"/>
      <c r="Q65" s="216"/>
      <c r="R65" s="216"/>
      <c r="S65" s="216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P65" s="218"/>
      <c r="AQ65" s="218"/>
      <c r="AT65" s="39"/>
      <c r="AV65" s="39"/>
      <c r="AW65" s="39"/>
    </row>
    <row r="66" spans="1:50" s="88" customFormat="1" ht="11.25" customHeight="1">
      <c r="A66" s="289" t="s">
        <v>448</v>
      </c>
      <c r="B66" s="37">
        <f>+B61+B63</f>
        <v>1708024</v>
      </c>
      <c r="C66" s="37">
        <f aca="true" t="shared" si="9" ref="C66:AQ66">+C61+C63</f>
        <v>408364</v>
      </c>
      <c r="D66" s="37">
        <f t="shared" si="9"/>
        <v>209348.9</v>
      </c>
      <c r="E66" s="37">
        <f t="shared" si="9"/>
        <v>1922591</v>
      </c>
      <c r="F66" s="37">
        <f t="shared" si="9"/>
        <v>207384</v>
      </c>
      <c r="G66" s="37">
        <f t="shared" si="9"/>
        <v>436670</v>
      </c>
      <c r="H66" s="37">
        <f t="shared" si="9"/>
        <v>108423</v>
      </c>
      <c r="I66" s="37">
        <f t="shared" si="9"/>
        <v>6312</v>
      </c>
      <c r="J66" s="37">
        <f t="shared" si="9"/>
        <v>15568</v>
      </c>
      <c r="K66" s="37">
        <f t="shared" si="9"/>
        <v>190870</v>
      </c>
      <c r="L66" s="37">
        <f t="shared" si="9"/>
        <v>857760</v>
      </c>
      <c r="M66" s="37">
        <f t="shared" si="9"/>
        <v>192035</v>
      </c>
      <c r="N66" s="37">
        <f t="shared" si="9"/>
        <v>520648</v>
      </c>
      <c r="O66" s="37">
        <f t="shared" si="9"/>
        <v>130733</v>
      </c>
      <c r="P66" s="37">
        <f t="shared" si="9"/>
        <v>3898257</v>
      </c>
      <c r="Q66" s="37">
        <f t="shared" si="9"/>
        <v>15566919</v>
      </c>
      <c r="R66" s="37">
        <f t="shared" si="9"/>
        <v>1153277</v>
      </c>
      <c r="S66" s="37">
        <f t="shared" si="9"/>
        <v>637905</v>
      </c>
      <c r="T66" s="37">
        <f t="shared" si="9"/>
        <v>18883347</v>
      </c>
      <c r="U66" s="37">
        <f t="shared" si="9"/>
        <v>865396</v>
      </c>
      <c r="V66" s="37">
        <f t="shared" si="9"/>
        <v>2960169</v>
      </c>
      <c r="W66" s="37">
        <f t="shared" si="9"/>
        <v>136130</v>
      </c>
      <c r="X66" s="37">
        <f t="shared" si="9"/>
        <v>245868</v>
      </c>
      <c r="Y66" s="37">
        <f t="shared" si="9"/>
        <v>1038827</v>
      </c>
      <c r="Z66" s="37">
        <f t="shared" si="9"/>
        <v>30231</v>
      </c>
      <c r="AA66" s="37">
        <f t="shared" si="9"/>
        <v>106372</v>
      </c>
      <c r="AB66" s="37">
        <f t="shared" si="9"/>
        <v>556963</v>
      </c>
      <c r="AC66" s="37">
        <f t="shared" si="9"/>
        <v>15965</v>
      </c>
      <c r="AD66" s="37">
        <f t="shared" si="9"/>
        <v>42655</v>
      </c>
      <c r="AE66" s="37">
        <f t="shared" si="9"/>
        <v>39177.3</v>
      </c>
      <c r="AF66" s="37">
        <f t="shared" si="9"/>
        <v>2503919.327</v>
      </c>
      <c r="AG66" s="37">
        <f t="shared" si="9"/>
        <v>3563894.561</v>
      </c>
      <c r="AH66" s="37">
        <f t="shared" si="9"/>
        <v>959044.1470000001</v>
      </c>
      <c r="AI66" s="37">
        <f t="shared" si="9"/>
        <v>221119</v>
      </c>
      <c r="AJ66" s="37">
        <f t="shared" si="9"/>
        <v>36968</v>
      </c>
      <c r="AK66" s="37">
        <f t="shared" si="9"/>
        <v>24294</v>
      </c>
      <c r="AL66" s="37">
        <f t="shared" si="9"/>
        <v>477091.004</v>
      </c>
      <c r="AM66" s="37">
        <f t="shared" si="9"/>
        <v>2589693.676</v>
      </c>
      <c r="AN66" s="37">
        <f t="shared" si="9"/>
        <v>1601466.6600000001</v>
      </c>
      <c r="AO66" s="37">
        <f t="shared" si="9"/>
        <v>356154.68</v>
      </c>
      <c r="AP66" s="37">
        <f t="shared" si="9"/>
        <v>8103</v>
      </c>
      <c r="AQ66" s="37">
        <f t="shared" si="9"/>
        <v>1454908</v>
      </c>
      <c r="AR66" s="37"/>
      <c r="AS66" s="88">
        <f t="shared" si="0"/>
        <v>66888845.25499999</v>
      </c>
      <c r="AT66" s="37"/>
      <c r="AV66" s="37"/>
      <c r="AW66" s="37"/>
      <c r="AX66" s="37"/>
    </row>
    <row r="67" spans="2:46" ht="11.25" customHeight="1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</row>
    <row r="68" spans="1:46" ht="16.5" customHeight="1">
      <c r="A68" s="241" t="s">
        <v>424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</row>
    <row r="69" ht="11.25" customHeight="1">
      <c r="A69" s="225" t="s">
        <v>423</v>
      </c>
    </row>
    <row r="70" spans="1:50" s="228" customFormat="1" ht="11.25" customHeight="1" hidden="1" outlineLevel="1">
      <c r="A70" s="226" t="s">
        <v>234</v>
      </c>
      <c r="B70" s="216">
        <v>0</v>
      </c>
      <c r="C70" s="216">
        <v>0</v>
      </c>
      <c r="D70" s="216">
        <v>0</v>
      </c>
      <c r="E70" s="216">
        <v>0</v>
      </c>
      <c r="F70" s="216">
        <v>0</v>
      </c>
      <c r="G70" s="216">
        <v>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6">
        <v>0</v>
      </c>
      <c r="O70" s="216">
        <v>0</v>
      </c>
      <c r="P70" s="216">
        <v>0</v>
      </c>
      <c r="Q70" s="216">
        <v>0</v>
      </c>
      <c r="R70" s="216">
        <v>0</v>
      </c>
      <c r="S70" s="216">
        <v>0</v>
      </c>
      <c r="T70" s="216">
        <v>0</v>
      </c>
      <c r="U70" s="216">
        <v>0</v>
      </c>
      <c r="V70" s="216">
        <v>0</v>
      </c>
      <c r="W70" s="216">
        <v>0</v>
      </c>
      <c r="X70" s="216">
        <v>0</v>
      </c>
      <c r="Y70" s="216">
        <v>0</v>
      </c>
      <c r="Z70" s="216">
        <v>0</v>
      </c>
      <c r="AA70" s="216">
        <v>0</v>
      </c>
      <c r="AB70" s="216">
        <v>0</v>
      </c>
      <c r="AC70" s="216">
        <v>0</v>
      </c>
      <c r="AD70" s="216">
        <v>0</v>
      </c>
      <c r="AE70" s="216">
        <v>0</v>
      </c>
      <c r="AF70" s="216">
        <v>0</v>
      </c>
      <c r="AG70" s="216">
        <v>0</v>
      </c>
      <c r="AH70" s="216">
        <v>0</v>
      </c>
      <c r="AI70" s="216">
        <v>0</v>
      </c>
      <c r="AJ70" s="216">
        <v>0</v>
      </c>
      <c r="AK70" s="216">
        <v>0</v>
      </c>
      <c r="AL70" s="216">
        <v>0</v>
      </c>
      <c r="AM70" s="216">
        <v>0</v>
      </c>
      <c r="AN70" s="216">
        <v>0</v>
      </c>
      <c r="AO70" s="216">
        <v>0</v>
      </c>
      <c r="AP70" s="216">
        <v>0</v>
      </c>
      <c r="AQ70" s="216">
        <v>0</v>
      </c>
      <c r="AR70" s="39"/>
      <c r="AS70" s="205">
        <f aca="true" t="shared" si="10" ref="AS70:AS100">SUM(B70:AQ70)</f>
        <v>0</v>
      </c>
      <c r="AT70" s="39"/>
      <c r="AU70" s="39"/>
      <c r="AV70" s="39"/>
      <c r="AW70" s="39"/>
      <c r="AX70" s="39"/>
    </row>
    <row r="71" spans="1:49" s="228" customFormat="1" ht="11.25" customHeight="1" hidden="1" outlineLevel="1">
      <c r="A71" s="229"/>
      <c r="B71" s="216"/>
      <c r="C71" s="217"/>
      <c r="D71" s="218"/>
      <c r="E71" s="227"/>
      <c r="K71" s="227"/>
      <c r="L71" s="227"/>
      <c r="M71" s="227"/>
      <c r="N71" s="227"/>
      <c r="O71" s="227"/>
      <c r="P71" s="217"/>
      <c r="Q71" s="217"/>
      <c r="R71" s="217"/>
      <c r="S71" s="217"/>
      <c r="T71" s="218"/>
      <c r="U71" s="218"/>
      <c r="V71" s="218"/>
      <c r="AB71" s="227"/>
      <c r="AC71" s="227"/>
      <c r="AD71" s="227"/>
      <c r="AE71" s="218"/>
      <c r="AI71" s="227"/>
      <c r="AJ71" s="227"/>
      <c r="AK71" s="227"/>
      <c r="AP71" s="227"/>
      <c r="AS71" s="205"/>
      <c r="AT71" s="39"/>
      <c r="AU71" s="39"/>
      <c r="AV71" s="39"/>
      <c r="AW71" s="39"/>
    </row>
    <row r="72" spans="1:49" s="228" customFormat="1" ht="11.25" customHeight="1" hidden="1" outlineLevel="1">
      <c r="A72" s="229" t="s">
        <v>235</v>
      </c>
      <c r="B72" s="216"/>
      <c r="C72" s="217"/>
      <c r="D72" s="218"/>
      <c r="E72" s="227"/>
      <c r="K72" s="227"/>
      <c r="L72" s="227"/>
      <c r="M72" s="227"/>
      <c r="N72" s="227"/>
      <c r="O72" s="227"/>
      <c r="P72" s="217"/>
      <c r="Q72" s="217"/>
      <c r="R72" s="217"/>
      <c r="S72" s="217"/>
      <c r="T72" s="218"/>
      <c r="U72" s="218"/>
      <c r="V72" s="218"/>
      <c r="AB72" s="227"/>
      <c r="AC72" s="227"/>
      <c r="AD72" s="227"/>
      <c r="AE72" s="218"/>
      <c r="AI72" s="227"/>
      <c r="AJ72" s="227"/>
      <c r="AK72" s="227"/>
      <c r="AP72" s="227"/>
      <c r="AS72" s="205"/>
      <c r="AT72" s="39"/>
      <c r="AU72" s="39"/>
      <c r="AV72" s="39"/>
      <c r="AW72" s="39"/>
    </row>
    <row r="73" spans="1:50" s="228" customFormat="1" ht="11.25" customHeight="1" hidden="1" outlineLevel="1">
      <c r="A73" s="206" t="s">
        <v>236</v>
      </c>
      <c r="B73" s="216">
        <v>0</v>
      </c>
      <c r="C73" s="216">
        <v>0</v>
      </c>
      <c r="D73" s="216">
        <v>0</v>
      </c>
      <c r="E73" s="216">
        <v>0</v>
      </c>
      <c r="F73" s="216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216">
        <v>0</v>
      </c>
      <c r="AF73" s="216">
        <v>0</v>
      </c>
      <c r="AG73" s="216">
        <v>0</v>
      </c>
      <c r="AH73" s="216">
        <v>0</v>
      </c>
      <c r="AI73" s="216">
        <v>0</v>
      </c>
      <c r="AJ73" s="216">
        <v>0</v>
      </c>
      <c r="AK73" s="216">
        <v>0</v>
      </c>
      <c r="AL73" s="216">
        <v>0</v>
      </c>
      <c r="AM73" s="216">
        <v>0</v>
      </c>
      <c r="AN73" s="216">
        <v>0</v>
      </c>
      <c r="AO73" s="216">
        <v>0</v>
      </c>
      <c r="AP73" s="216">
        <v>0</v>
      </c>
      <c r="AQ73" s="216">
        <v>0</v>
      </c>
      <c r="AR73" s="216"/>
      <c r="AS73" s="205">
        <f t="shared" si="10"/>
        <v>0</v>
      </c>
      <c r="AT73" s="39"/>
      <c r="AU73" s="39"/>
      <c r="AV73" s="39"/>
      <c r="AW73" s="39"/>
      <c r="AX73" s="216"/>
    </row>
    <row r="74" spans="1:50" s="228" customFormat="1" ht="11.25" customHeight="1" hidden="1" outlineLevel="1">
      <c r="A74" s="206" t="s">
        <v>237</v>
      </c>
      <c r="B74" s="216">
        <v>0</v>
      </c>
      <c r="C74" s="216">
        <v>0</v>
      </c>
      <c r="D74" s="216">
        <v>0</v>
      </c>
      <c r="E74" s="216">
        <v>0</v>
      </c>
      <c r="F74" s="216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6">
        <v>0</v>
      </c>
      <c r="O74" s="216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216">
        <v>0</v>
      </c>
      <c r="AF74" s="216">
        <v>0</v>
      </c>
      <c r="AG74" s="216">
        <v>0</v>
      </c>
      <c r="AH74" s="216">
        <v>0</v>
      </c>
      <c r="AI74" s="216">
        <v>0</v>
      </c>
      <c r="AJ74" s="216">
        <v>0</v>
      </c>
      <c r="AK74" s="216">
        <v>0</v>
      </c>
      <c r="AL74" s="216">
        <v>0</v>
      </c>
      <c r="AM74" s="216">
        <v>0</v>
      </c>
      <c r="AN74" s="216">
        <v>0</v>
      </c>
      <c r="AO74" s="216">
        <v>0</v>
      </c>
      <c r="AP74" s="216">
        <v>0</v>
      </c>
      <c r="AQ74" s="216">
        <v>0</v>
      </c>
      <c r="AR74" s="216"/>
      <c r="AS74" s="205">
        <f t="shared" si="10"/>
        <v>0</v>
      </c>
      <c r="AT74" s="39"/>
      <c r="AU74" s="39"/>
      <c r="AV74" s="39"/>
      <c r="AW74" s="39"/>
      <c r="AX74" s="216"/>
    </row>
    <row r="75" spans="1:50" s="228" customFormat="1" ht="11.25" customHeight="1" hidden="1" outlineLevel="1">
      <c r="A75" s="206" t="s">
        <v>238</v>
      </c>
      <c r="B75" s="216">
        <v>0</v>
      </c>
      <c r="C75" s="216">
        <v>0</v>
      </c>
      <c r="D75" s="216">
        <v>0</v>
      </c>
      <c r="E75" s="216">
        <v>0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216">
        <v>0</v>
      </c>
      <c r="AF75" s="216">
        <v>0</v>
      </c>
      <c r="AG75" s="216">
        <v>0</v>
      </c>
      <c r="AH75" s="216">
        <v>0</v>
      </c>
      <c r="AI75" s="216">
        <v>0</v>
      </c>
      <c r="AJ75" s="216">
        <v>0</v>
      </c>
      <c r="AK75" s="216">
        <v>0</v>
      </c>
      <c r="AL75" s="216">
        <v>0</v>
      </c>
      <c r="AM75" s="216">
        <v>0</v>
      </c>
      <c r="AN75" s="216">
        <v>0</v>
      </c>
      <c r="AO75" s="216">
        <v>0</v>
      </c>
      <c r="AP75" s="216">
        <v>0</v>
      </c>
      <c r="AQ75" s="216">
        <v>0</v>
      </c>
      <c r="AR75" s="216"/>
      <c r="AS75" s="205">
        <f t="shared" si="10"/>
        <v>0</v>
      </c>
      <c r="AT75" s="39"/>
      <c r="AU75" s="39"/>
      <c r="AV75" s="39"/>
      <c r="AW75" s="39"/>
      <c r="AX75" s="216"/>
    </row>
    <row r="76" spans="1:50" s="228" customFormat="1" ht="11.25" customHeight="1" hidden="1" outlineLevel="1">
      <c r="A76" s="206" t="s">
        <v>239</v>
      </c>
      <c r="B76" s="216">
        <v>0</v>
      </c>
      <c r="C76" s="216">
        <v>0</v>
      </c>
      <c r="D76" s="216">
        <v>0</v>
      </c>
      <c r="E76" s="216">
        <v>0</v>
      </c>
      <c r="F76" s="216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216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216">
        <v>0</v>
      </c>
      <c r="AF76" s="216">
        <v>0</v>
      </c>
      <c r="AG76" s="216">
        <v>0</v>
      </c>
      <c r="AH76" s="216">
        <v>0</v>
      </c>
      <c r="AI76" s="216">
        <v>0</v>
      </c>
      <c r="AJ76" s="216">
        <v>0</v>
      </c>
      <c r="AK76" s="216">
        <v>0</v>
      </c>
      <c r="AL76" s="216">
        <v>0</v>
      </c>
      <c r="AM76" s="216">
        <v>0</v>
      </c>
      <c r="AN76" s="216">
        <v>0</v>
      </c>
      <c r="AO76" s="216">
        <v>0</v>
      </c>
      <c r="AP76" s="216">
        <v>0</v>
      </c>
      <c r="AQ76" s="216">
        <v>0</v>
      </c>
      <c r="AR76" s="216"/>
      <c r="AS76" s="205">
        <f t="shared" si="10"/>
        <v>0</v>
      </c>
      <c r="AT76" s="39"/>
      <c r="AU76" s="39"/>
      <c r="AV76" s="39"/>
      <c r="AW76" s="39"/>
      <c r="AX76" s="216"/>
    </row>
    <row r="77" spans="1:50" s="228" customFormat="1" ht="11.25" customHeight="1" hidden="1" outlineLevel="1">
      <c r="A77" s="206" t="s">
        <v>240</v>
      </c>
      <c r="B77" s="216">
        <v>0</v>
      </c>
      <c r="C77" s="216">
        <v>0</v>
      </c>
      <c r="D77" s="216">
        <v>0</v>
      </c>
      <c r="E77" s="216">
        <v>0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216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216">
        <v>0</v>
      </c>
      <c r="AF77" s="216">
        <v>0</v>
      </c>
      <c r="AG77" s="216">
        <v>0</v>
      </c>
      <c r="AH77" s="216">
        <v>0</v>
      </c>
      <c r="AI77" s="216">
        <v>0</v>
      </c>
      <c r="AJ77" s="216">
        <v>0</v>
      </c>
      <c r="AK77" s="216">
        <v>0</v>
      </c>
      <c r="AL77" s="216">
        <v>0</v>
      </c>
      <c r="AM77" s="216">
        <v>0</v>
      </c>
      <c r="AN77" s="216">
        <v>0</v>
      </c>
      <c r="AO77" s="216">
        <v>0</v>
      </c>
      <c r="AP77" s="216">
        <v>0</v>
      </c>
      <c r="AQ77" s="216">
        <v>0</v>
      </c>
      <c r="AR77" s="216"/>
      <c r="AS77" s="205">
        <f t="shared" si="10"/>
        <v>0</v>
      </c>
      <c r="AT77" s="39"/>
      <c r="AU77" s="39"/>
      <c r="AV77" s="39"/>
      <c r="AW77" s="39"/>
      <c r="AX77" s="216"/>
    </row>
    <row r="78" spans="1:50" s="228" customFormat="1" ht="11.25" customHeight="1" hidden="1" outlineLevel="1">
      <c r="A78" s="206" t="s">
        <v>241</v>
      </c>
      <c r="B78" s="216">
        <v>0</v>
      </c>
      <c r="C78" s="216">
        <v>0</v>
      </c>
      <c r="D78" s="216">
        <v>0</v>
      </c>
      <c r="E78" s="216">
        <v>0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216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216">
        <v>0</v>
      </c>
      <c r="AF78" s="216">
        <v>0</v>
      </c>
      <c r="AG78" s="216">
        <v>0</v>
      </c>
      <c r="AH78" s="216">
        <v>0</v>
      </c>
      <c r="AI78" s="216">
        <v>0</v>
      </c>
      <c r="AJ78" s="216">
        <v>0</v>
      </c>
      <c r="AK78" s="216">
        <v>0</v>
      </c>
      <c r="AL78" s="216">
        <v>0</v>
      </c>
      <c r="AM78" s="216">
        <v>0</v>
      </c>
      <c r="AN78" s="216">
        <v>0</v>
      </c>
      <c r="AO78" s="216">
        <v>0</v>
      </c>
      <c r="AP78" s="216">
        <v>0</v>
      </c>
      <c r="AQ78" s="216">
        <v>0</v>
      </c>
      <c r="AR78" s="216"/>
      <c r="AS78" s="205">
        <f t="shared" si="10"/>
        <v>0</v>
      </c>
      <c r="AT78" s="39"/>
      <c r="AU78" s="39"/>
      <c r="AV78" s="39"/>
      <c r="AW78" s="39"/>
      <c r="AX78" s="216"/>
    </row>
    <row r="79" spans="1:50" s="228" customFormat="1" ht="11.25" customHeight="1" hidden="1" outlineLevel="1">
      <c r="A79" s="206"/>
      <c r="B79" s="216"/>
      <c r="C79" s="217"/>
      <c r="D79" s="218"/>
      <c r="E79" s="218"/>
      <c r="K79" s="218"/>
      <c r="L79" s="218"/>
      <c r="M79" s="218"/>
      <c r="N79" s="218"/>
      <c r="O79" s="218"/>
      <c r="P79" s="217"/>
      <c r="Q79" s="217"/>
      <c r="R79" s="217"/>
      <c r="S79" s="217"/>
      <c r="T79" s="218"/>
      <c r="U79" s="218"/>
      <c r="V79" s="218"/>
      <c r="Y79" s="218"/>
      <c r="AB79" s="218"/>
      <c r="AC79" s="218"/>
      <c r="AD79" s="218"/>
      <c r="AE79" s="218"/>
      <c r="AI79" s="218"/>
      <c r="AJ79" s="218"/>
      <c r="AK79" s="218"/>
      <c r="AP79" s="218"/>
      <c r="AS79" s="205">
        <f t="shared" si="10"/>
        <v>0</v>
      </c>
      <c r="AT79" s="39"/>
      <c r="AU79" s="39"/>
      <c r="AV79" s="39"/>
      <c r="AW79" s="39"/>
      <c r="AX79" s="216"/>
    </row>
    <row r="80" spans="1:50" s="228" customFormat="1" ht="11.25" customHeight="1" hidden="1" outlineLevel="1">
      <c r="A80" s="230" t="s">
        <v>242</v>
      </c>
      <c r="B80" s="216"/>
      <c r="C80" s="217"/>
      <c r="D80" s="218"/>
      <c r="E80" s="218"/>
      <c r="K80" s="218"/>
      <c r="L80" s="218"/>
      <c r="M80" s="218"/>
      <c r="N80" s="218"/>
      <c r="O80" s="218"/>
      <c r="P80" s="217"/>
      <c r="Q80" s="217"/>
      <c r="R80" s="217"/>
      <c r="S80" s="217"/>
      <c r="T80" s="218"/>
      <c r="U80" s="218"/>
      <c r="V80" s="218"/>
      <c r="Y80" s="218"/>
      <c r="AB80" s="218"/>
      <c r="AC80" s="218"/>
      <c r="AD80" s="218"/>
      <c r="AE80" s="218"/>
      <c r="AI80" s="218"/>
      <c r="AJ80" s="218"/>
      <c r="AK80" s="218"/>
      <c r="AP80" s="218"/>
      <c r="AS80" s="205">
        <f t="shared" si="10"/>
        <v>0</v>
      </c>
      <c r="AT80" s="39"/>
      <c r="AU80" s="39"/>
      <c r="AV80" s="39"/>
      <c r="AW80" s="39"/>
      <c r="AX80" s="216"/>
    </row>
    <row r="81" spans="1:50" s="228" customFormat="1" ht="11.25" customHeight="1" hidden="1" outlineLevel="1">
      <c r="A81" s="206" t="s">
        <v>243</v>
      </c>
      <c r="B81" s="216">
        <v>1118755</v>
      </c>
      <c r="C81" s="231">
        <v>338222</v>
      </c>
      <c r="D81" s="231">
        <v>0</v>
      </c>
      <c r="E81" s="216">
        <v>692264</v>
      </c>
      <c r="F81" s="216">
        <v>72472</v>
      </c>
      <c r="G81" s="216">
        <v>86900</v>
      </c>
      <c r="H81" s="216">
        <v>98970</v>
      </c>
      <c r="I81" s="216">
        <v>6012</v>
      </c>
      <c r="J81" s="216">
        <v>0</v>
      </c>
      <c r="K81" s="216">
        <v>60992</v>
      </c>
      <c r="L81" s="216">
        <v>0</v>
      </c>
      <c r="M81" s="216">
        <v>43945</v>
      </c>
      <c r="N81" s="216">
        <v>223028</v>
      </c>
      <c r="O81" s="216">
        <v>129914</v>
      </c>
      <c r="P81" s="216">
        <v>2981744</v>
      </c>
      <c r="Q81" s="216">
        <v>13206045</v>
      </c>
      <c r="R81" s="216">
        <v>1026353</v>
      </c>
      <c r="S81" s="216">
        <v>0</v>
      </c>
      <c r="T81" s="216">
        <v>9498699</v>
      </c>
      <c r="U81" s="216">
        <v>274255</v>
      </c>
      <c r="V81" s="216">
        <v>0</v>
      </c>
      <c r="W81" s="216">
        <v>47836</v>
      </c>
      <c r="X81" s="216">
        <v>0</v>
      </c>
      <c r="Y81" s="216">
        <v>0</v>
      </c>
      <c r="Z81" s="216">
        <v>30065</v>
      </c>
      <c r="AA81" s="216">
        <v>56258</v>
      </c>
      <c r="AB81" s="216">
        <v>182683</v>
      </c>
      <c r="AC81" s="216">
        <v>4865</v>
      </c>
      <c r="AD81" s="216">
        <v>23563</v>
      </c>
      <c r="AE81" s="216">
        <v>11782</v>
      </c>
      <c r="AF81" s="216">
        <v>2336068.122</v>
      </c>
      <c r="AG81" s="216">
        <v>3531284.291</v>
      </c>
      <c r="AH81" s="216">
        <v>996551.502</v>
      </c>
      <c r="AI81" s="216">
        <v>175399</v>
      </c>
      <c r="AJ81" s="216">
        <v>36611</v>
      </c>
      <c r="AK81" s="216">
        <v>0</v>
      </c>
      <c r="AL81" s="216">
        <v>471079.78</v>
      </c>
      <c r="AM81" s="216">
        <v>2559219.473</v>
      </c>
      <c r="AN81" s="216">
        <v>1578024.026</v>
      </c>
      <c r="AO81" s="216">
        <v>0</v>
      </c>
      <c r="AP81" s="216">
        <v>2011</v>
      </c>
      <c r="AQ81" s="216">
        <v>1322072</v>
      </c>
      <c r="AR81" s="216"/>
      <c r="AS81" s="205">
        <f t="shared" si="10"/>
        <v>43223942.194</v>
      </c>
      <c r="AT81" s="39"/>
      <c r="AU81" s="39"/>
      <c r="AV81" s="39"/>
      <c r="AW81" s="39"/>
      <c r="AX81" s="216"/>
    </row>
    <row r="82" spans="1:50" s="228" customFormat="1" ht="11.25" customHeight="1" hidden="1" outlineLevel="1">
      <c r="A82" s="206" t="s">
        <v>244</v>
      </c>
      <c r="B82" s="216">
        <v>554548</v>
      </c>
      <c r="C82" s="231">
        <v>60681</v>
      </c>
      <c r="D82" s="231">
        <v>0</v>
      </c>
      <c r="E82" s="216">
        <v>833859</v>
      </c>
      <c r="F82" s="216">
        <v>126594</v>
      </c>
      <c r="G82" s="216">
        <v>329395</v>
      </c>
      <c r="H82" s="216">
        <v>5693</v>
      </c>
      <c r="I82" s="216">
        <v>0</v>
      </c>
      <c r="J82" s="216">
        <v>0</v>
      </c>
      <c r="K82" s="216">
        <v>51809</v>
      </c>
      <c r="L82" s="216">
        <f>349245+19</f>
        <v>349264</v>
      </c>
      <c r="M82" s="216">
        <v>130509</v>
      </c>
      <c r="N82" s="216">
        <v>221932</v>
      </c>
      <c r="O82" s="216">
        <v>0</v>
      </c>
      <c r="P82" s="216">
        <v>728140</v>
      </c>
      <c r="Q82" s="216">
        <v>1307911</v>
      </c>
      <c r="R82" s="216">
        <v>69441</v>
      </c>
      <c r="S82" s="216">
        <v>0</v>
      </c>
      <c r="T82" s="216">
        <v>8941750</v>
      </c>
      <c r="U82" s="216">
        <v>571673</v>
      </c>
      <c r="V82" s="216">
        <v>0</v>
      </c>
      <c r="W82" s="216">
        <v>40780</v>
      </c>
      <c r="X82" s="216">
        <v>106782</v>
      </c>
      <c r="Y82" s="216">
        <v>0</v>
      </c>
      <c r="Z82" s="216">
        <v>0</v>
      </c>
      <c r="AA82" s="216">
        <v>45909</v>
      </c>
      <c r="AB82" s="216">
        <v>286947</v>
      </c>
      <c r="AC82" s="216">
        <v>10446</v>
      </c>
      <c r="AD82" s="216">
        <v>17840</v>
      </c>
      <c r="AE82" s="216">
        <v>23075</v>
      </c>
      <c r="AF82" s="216">
        <v>21449.472</v>
      </c>
      <c r="AG82" s="216">
        <v>64534.035</v>
      </c>
      <c r="AH82" s="216">
        <v>17565.76</v>
      </c>
      <c r="AI82" s="216">
        <v>41081</v>
      </c>
      <c r="AJ82" s="216">
        <v>0</v>
      </c>
      <c r="AK82" s="216">
        <v>0</v>
      </c>
      <c r="AL82" s="216">
        <v>0</v>
      </c>
      <c r="AM82" s="216">
        <v>0</v>
      </c>
      <c r="AN82" s="216">
        <v>0</v>
      </c>
      <c r="AO82" s="216">
        <v>0</v>
      </c>
      <c r="AP82" s="216">
        <v>4692</v>
      </c>
      <c r="AQ82" s="216">
        <v>64467</v>
      </c>
      <c r="AR82" s="216"/>
      <c r="AS82" s="205">
        <f t="shared" si="10"/>
        <v>15028767.266999999</v>
      </c>
      <c r="AT82" s="39"/>
      <c r="AU82" s="39"/>
      <c r="AV82" s="39"/>
      <c r="AW82" s="39"/>
      <c r="AX82" s="216"/>
    </row>
    <row r="83" spans="1:50" s="228" customFormat="1" ht="11.25" customHeight="1" hidden="1" outlineLevel="1">
      <c r="A83" s="39" t="s">
        <v>245</v>
      </c>
      <c r="B83" s="216">
        <v>0</v>
      </c>
      <c r="C83" s="216">
        <v>0</v>
      </c>
      <c r="D83" s="216">
        <v>0</v>
      </c>
      <c r="E83" s="216">
        <v>350593</v>
      </c>
      <c r="F83" s="216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70063</v>
      </c>
      <c r="L83" s="216">
        <f>472534-19</f>
        <v>472515</v>
      </c>
      <c r="M83" s="216">
        <v>0</v>
      </c>
      <c r="N83" s="216">
        <v>0</v>
      </c>
      <c r="O83" s="216">
        <v>0</v>
      </c>
      <c r="P83" s="216">
        <v>161694</v>
      </c>
      <c r="Q83" s="216">
        <v>1028523</v>
      </c>
      <c r="R83" s="216">
        <v>52200</v>
      </c>
      <c r="S83" s="216">
        <v>0</v>
      </c>
      <c r="T83" s="216">
        <v>211436</v>
      </c>
      <c r="U83" s="216">
        <v>0</v>
      </c>
      <c r="V83" s="216">
        <v>0</v>
      </c>
      <c r="W83" s="216">
        <v>34058</v>
      </c>
      <c r="X83" s="216">
        <v>91571</v>
      </c>
      <c r="Y83" s="216">
        <v>0</v>
      </c>
      <c r="Z83" s="216">
        <v>0</v>
      </c>
      <c r="AA83" s="216">
        <v>0</v>
      </c>
      <c r="AB83" s="216">
        <v>0</v>
      </c>
      <c r="AC83" s="216">
        <v>0</v>
      </c>
      <c r="AD83" s="216">
        <v>0</v>
      </c>
      <c r="AE83" s="216">
        <v>0</v>
      </c>
      <c r="AF83" s="216">
        <v>0</v>
      </c>
      <c r="AG83" s="216">
        <v>0</v>
      </c>
      <c r="AH83" s="216">
        <v>0</v>
      </c>
      <c r="AI83" s="216">
        <v>0</v>
      </c>
      <c r="AJ83" s="216">
        <v>0</v>
      </c>
      <c r="AK83" s="216">
        <v>0</v>
      </c>
      <c r="AL83" s="216">
        <v>0</v>
      </c>
      <c r="AM83" s="216">
        <v>0</v>
      </c>
      <c r="AN83" s="216">
        <v>0</v>
      </c>
      <c r="AO83" s="216">
        <v>0</v>
      </c>
      <c r="AP83" s="216">
        <v>0</v>
      </c>
      <c r="AQ83" s="216">
        <v>81403</v>
      </c>
      <c r="AR83" s="216"/>
      <c r="AS83" s="205">
        <f t="shared" si="10"/>
        <v>2554056</v>
      </c>
      <c r="AT83" s="39"/>
      <c r="AU83" s="39"/>
      <c r="AV83" s="39"/>
      <c r="AW83" s="39"/>
      <c r="AX83" s="216"/>
    </row>
    <row r="84" spans="1:50" s="228" customFormat="1" ht="11.25" customHeight="1" hidden="1" outlineLevel="1">
      <c r="A84" s="39" t="s">
        <v>246</v>
      </c>
      <c r="B84" s="216">
        <v>0</v>
      </c>
      <c r="C84" s="216">
        <v>0</v>
      </c>
      <c r="D84" s="216">
        <v>0</v>
      </c>
      <c r="E84" s="216">
        <v>0</v>
      </c>
      <c r="F84" s="216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28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216">
        <v>0</v>
      </c>
      <c r="S84" s="216">
        <v>0</v>
      </c>
      <c r="T84" s="216">
        <v>0</v>
      </c>
      <c r="U84" s="216">
        <v>0</v>
      </c>
      <c r="V84" s="216">
        <v>0</v>
      </c>
      <c r="W84" s="216">
        <v>0</v>
      </c>
      <c r="X84" s="216">
        <v>0</v>
      </c>
      <c r="Y84" s="216">
        <v>0</v>
      </c>
      <c r="Z84" s="216">
        <v>0</v>
      </c>
      <c r="AA84" s="216">
        <v>0</v>
      </c>
      <c r="AB84" s="216">
        <v>0</v>
      </c>
      <c r="AC84" s="216">
        <v>0</v>
      </c>
      <c r="AD84" s="216">
        <v>0</v>
      </c>
      <c r="AE84" s="216">
        <v>0</v>
      </c>
      <c r="AF84" s="216">
        <v>0</v>
      </c>
      <c r="AG84" s="216">
        <v>0</v>
      </c>
      <c r="AH84" s="216">
        <v>0</v>
      </c>
      <c r="AI84" s="216">
        <v>0</v>
      </c>
      <c r="AJ84" s="216">
        <v>0</v>
      </c>
      <c r="AK84" s="216">
        <v>0</v>
      </c>
      <c r="AL84" s="216">
        <v>0</v>
      </c>
      <c r="AM84" s="216">
        <v>0</v>
      </c>
      <c r="AN84" s="216">
        <v>0</v>
      </c>
      <c r="AO84" s="216">
        <v>0</v>
      </c>
      <c r="AP84" s="216">
        <v>0</v>
      </c>
      <c r="AQ84" s="216">
        <v>0</v>
      </c>
      <c r="AR84" s="216"/>
      <c r="AS84" s="205">
        <f t="shared" si="10"/>
        <v>0</v>
      </c>
      <c r="AT84" s="39"/>
      <c r="AU84" s="39"/>
      <c r="AV84" s="39"/>
      <c r="AW84" s="39"/>
      <c r="AX84" s="216"/>
    </row>
    <row r="85" spans="1:50" s="228" customFormat="1" ht="11.25" customHeight="1" hidden="1" outlineLevel="1">
      <c r="A85" s="206" t="s">
        <v>247</v>
      </c>
      <c r="B85" s="216">
        <v>0</v>
      </c>
      <c r="C85" s="216">
        <v>0</v>
      </c>
      <c r="D85" s="231">
        <v>207926</v>
      </c>
      <c r="E85" s="216">
        <v>0</v>
      </c>
      <c r="F85" s="216">
        <v>0</v>
      </c>
      <c r="G85" s="216">
        <v>0</v>
      </c>
      <c r="H85" s="216">
        <v>0</v>
      </c>
      <c r="I85" s="216">
        <v>0</v>
      </c>
      <c r="J85" s="216">
        <v>15156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216">
        <v>0</v>
      </c>
      <c r="Q85" s="216">
        <v>0</v>
      </c>
      <c r="R85" s="216">
        <v>0</v>
      </c>
      <c r="S85" s="216">
        <v>634566</v>
      </c>
      <c r="T85" s="216">
        <v>0</v>
      </c>
      <c r="U85" s="216">
        <v>0</v>
      </c>
      <c r="V85" s="216">
        <v>2882989</v>
      </c>
      <c r="W85" s="216">
        <v>0</v>
      </c>
      <c r="X85" s="216">
        <v>0</v>
      </c>
      <c r="Y85" s="216">
        <v>0</v>
      </c>
      <c r="Z85" s="216">
        <v>0</v>
      </c>
      <c r="AA85" s="216">
        <v>0</v>
      </c>
      <c r="AB85" s="216">
        <v>776</v>
      </c>
      <c r="AC85" s="216">
        <v>0</v>
      </c>
      <c r="AD85" s="216">
        <v>0</v>
      </c>
      <c r="AE85" s="216">
        <v>0</v>
      </c>
      <c r="AF85" s="216">
        <v>0</v>
      </c>
      <c r="AG85" s="216">
        <v>0</v>
      </c>
      <c r="AH85" s="216">
        <v>0</v>
      </c>
      <c r="AI85" s="216">
        <v>0</v>
      </c>
      <c r="AJ85" s="216">
        <v>0</v>
      </c>
      <c r="AK85" s="216">
        <v>0</v>
      </c>
      <c r="AL85" s="216">
        <v>0</v>
      </c>
      <c r="AM85" s="216">
        <v>0</v>
      </c>
      <c r="AN85" s="216">
        <v>0</v>
      </c>
      <c r="AO85" s="216">
        <v>356154.68</v>
      </c>
      <c r="AP85" s="216">
        <v>0</v>
      </c>
      <c r="AQ85" s="216">
        <v>0</v>
      </c>
      <c r="AR85" s="216"/>
      <c r="AS85" s="205">
        <f t="shared" si="10"/>
        <v>4097567.68</v>
      </c>
      <c r="AT85" s="39"/>
      <c r="AU85" s="39"/>
      <c r="AV85" s="39"/>
      <c r="AW85" s="39"/>
      <c r="AX85" s="216"/>
    </row>
    <row r="86" spans="1:50" s="228" customFormat="1" ht="11.25" customHeight="1" hidden="1" outlineLevel="1">
      <c r="A86" s="39" t="s">
        <v>242</v>
      </c>
      <c r="B86" s="216">
        <v>0</v>
      </c>
      <c r="C86" s="216">
        <v>0</v>
      </c>
      <c r="D86" s="216">
        <v>0</v>
      </c>
      <c r="E86" s="216">
        <v>0</v>
      </c>
      <c r="F86" s="216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216">
        <v>0</v>
      </c>
      <c r="P86" s="216">
        <v>0</v>
      </c>
      <c r="Q86" s="216">
        <v>0</v>
      </c>
      <c r="R86" s="216">
        <v>0</v>
      </c>
      <c r="S86" s="216">
        <v>0</v>
      </c>
      <c r="T86" s="216">
        <v>0</v>
      </c>
      <c r="U86" s="216">
        <v>0</v>
      </c>
      <c r="V86" s="216">
        <v>0</v>
      </c>
      <c r="W86" s="216">
        <v>0</v>
      </c>
      <c r="X86" s="216">
        <v>0</v>
      </c>
      <c r="Y86" s="216">
        <v>1038827</v>
      </c>
      <c r="Z86" s="216">
        <v>0</v>
      </c>
      <c r="AA86" s="216">
        <v>0</v>
      </c>
      <c r="AB86" s="216">
        <v>0</v>
      </c>
      <c r="AC86" s="216">
        <v>0</v>
      </c>
      <c r="AD86" s="216">
        <v>0</v>
      </c>
      <c r="AE86" s="216">
        <v>0</v>
      </c>
      <c r="AF86" s="216">
        <v>0</v>
      </c>
      <c r="AG86" s="216">
        <v>0</v>
      </c>
      <c r="AH86" s="216">
        <v>0</v>
      </c>
      <c r="AI86" s="216">
        <v>0</v>
      </c>
      <c r="AJ86" s="216">
        <v>0</v>
      </c>
      <c r="AK86" s="216">
        <v>0</v>
      </c>
      <c r="AL86" s="216">
        <v>0</v>
      </c>
      <c r="AM86" s="216">
        <v>0</v>
      </c>
      <c r="AN86" s="216">
        <v>0</v>
      </c>
      <c r="AO86" s="216">
        <v>0</v>
      </c>
      <c r="AP86" s="216">
        <v>0</v>
      </c>
      <c r="AQ86" s="216">
        <v>0</v>
      </c>
      <c r="AR86" s="216"/>
      <c r="AS86" s="205">
        <f t="shared" si="10"/>
        <v>1038827</v>
      </c>
      <c r="AT86" s="39"/>
      <c r="AU86" s="39"/>
      <c r="AV86" s="39"/>
      <c r="AW86" s="39"/>
      <c r="AX86" s="216"/>
    </row>
    <row r="87" spans="1:50" s="228" customFormat="1" ht="11.25" customHeight="1" hidden="1" outlineLevel="1">
      <c r="A87" s="290" t="s">
        <v>248</v>
      </c>
      <c r="B87" s="39">
        <f>SUM(B81:B86)</f>
        <v>1673303</v>
      </c>
      <c r="C87" s="39">
        <f aca="true" t="shared" si="11" ref="C87:AQ87">SUM(C81:C86)</f>
        <v>398903</v>
      </c>
      <c r="D87" s="39">
        <f t="shared" si="11"/>
        <v>207926</v>
      </c>
      <c r="E87" s="39">
        <f t="shared" si="11"/>
        <v>1876716</v>
      </c>
      <c r="F87" s="39">
        <f t="shared" si="11"/>
        <v>199066</v>
      </c>
      <c r="G87" s="39">
        <f t="shared" si="11"/>
        <v>416295</v>
      </c>
      <c r="H87" s="39">
        <f t="shared" si="11"/>
        <v>104663</v>
      </c>
      <c r="I87" s="39">
        <f t="shared" si="11"/>
        <v>6012</v>
      </c>
      <c r="J87" s="39">
        <f t="shared" si="11"/>
        <v>15156</v>
      </c>
      <c r="K87" s="39">
        <f t="shared" si="11"/>
        <v>182864</v>
      </c>
      <c r="L87" s="39">
        <f t="shared" si="11"/>
        <v>821779</v>
      </c>
      <c r="M87" s="39">
        <f t="shared" si="11"/>
        <v>174454</v>
      </c>
      <c r="N87" s="39">
        <f t="shared" si="11"/>
        <v>444960</v>
      </c>
      <c r="O87" s="39">
        <f t="shared" si="11"/>
        <v>129914</v>
      </c>
      <c r="P87" s="39">
        <f t="shared" si="11"/>
        <v>3871578</v>
      </c>
      <c r="Q87" s="39">
        <f t="shared" si="11"/>
        <v>15542479</v>
      </c>
      <c r="R87" s="39">
        <f t="shared" si="11"/>
        <v>1147994</v>
      </c>
      <c r="S87" s="39">
        <f t="shared" si="11"/>
        <v>634566</v>
      </c>
      <c r="T87" s="39">
        <f t="shared" si="11"/>
        <v>18651885</v>
      </c>
      <c r="U87" s="39">
        <f t="shared" si="11"/>
        <v>845928</v>
      </c>
      <c r="V87" s="39">
        <f t="shared" si="11"/>
        <v>2882989</v>
      </c>
      <c r="W87" s="39">
        <f t="shared" si="11"/>
        <v>122674</v>
      </c>
      <c r="X87" s="39">
        <f t="shared" si="11"/>
        <v>198353</v>
      </c>
      <c r="Y87" s="39">
        <f t="shared" si="11"/>
        <v>1038827</v>
      </c>
      <c r="Z87" s="39">
        <f t="shared" si="11"/>
        <v>30065</v>
      </c>
      <c r="AA87" s="39">
        <f t="shared" si="11"/>
        <v>102167</v>
      </c>
      <c r="AB87" s="39">
        <f t="shared" si="11"/>
        <v>470406</v>
      </c>
      <c r="AC87" s="39">
        <f t="shared" si="11"/>
        <v>15311</v>
      </c>
      <c r="AD87" s="39">
        <f t="shared" si="11"/>
        <v>41403</v>
      </c>
      <c r="AE87" s="39">
        <f t="shared" si="11"/>
        <v>34857</v>
      </c>
      <c r="AF87" s="39">
        <f t="shared" si="11"/>
        <v>2357517.594</v>
      </c>
      <c r="AG87" s="39">
        <f t="shared" si="11"/>
        <v>3595818.3260000004</v>
      </c>
      <c r="AH87" s="39">
        <f t="shared" si="11"/>
        <v>1014117.262</v>
      </c>
      <c r="AI87" s="39">
        <f t="shared" si="11"/>
        <v>216480</v>
      </c>
      <c r="AJ87" s="39">
        <f t="shared" si="11"/>
        <v>36611</v>
      </c>
      <c r="AK87" s="39">
        <f t="shared" si="11"/>
        <v>0</v>
      </c>
      <c r="AL87" s="39">
        <f t="shared" si="11"/>
        <v>471079.78</v>
      </c>
      <c r="AM87" s="39">
        <f t="shared" si="11"/>
        <v>2559219.473</v>
      </c>
      <c r="AN87" s="39">
        <f t="shared" si="11"/>
        <v>1578024.026</v>
      </c>
      <c r="AO87" s="39">
        <f t="shared" si="11"/>
        <v>356154.68</v>
      </c>
      <c r="AP87" s="39">
        <f t="shared" si="11"/>
        <v>6703</v>
      </c>
      <c r="AQ87" s="39">
        <f t="shared" si="11"/>
        <v>1467942</v>
      </c>
      <c r="AR87" s="39"/>
      <c r="AS87" s="205">
        <f t="shared" si="10"/>
        <v>65943160.140999995</v>
      </c>
      <c r="AT87" s="39"/>
      <c r="AU87" s="39"/>
      <c r="AV87" s="39"/>
      <c r="AW87" s="39"/>
      <c r="AX87" s="216"/>
    </row>
    <row r="88" spans="1:50" s="228" customFormat="1" ht="11.25" customHeight="1" collapsed="1">
      <c r="A88" s="229" t="s">
        <v>249</v>
      </c>
      <c r="B88" s="39">
        <f>SUM(B73:B86)</f>
        <v>1673303</v>
      </c>
      <c r="C88" s="39">
        <f aca="true" t="shared" si="12" ref="C88:AQ88">SUM(C73:C86)</f>
        <v>398903</v>
      </c>
      <c r="D88" s="39">
        <f t="shared" si="12"/>
        <v>207926</v>
      </c>
      <c r="E88" s="39">
        <f t="shared" si="12"/>
        <v>1876716</v>
      </c>
      <c r="F88" s="39">
        <f t="shared" si="12"/>
        <v>199066</v>
      </c>
      <c r="G88" s="39">
        <f t="shared" si="12"/>
        <v>416295</v>
      </c>
      <c r="H88" s="39">
        <f t="shared" si="12"/>
        <v>104663</v>
      </c>
      <c r="I88" s="39">
        <f t="shared" si="12"/>
        <v>6012</v>
      </c>
      <c r="J88" s="39">
        <f t="shared" si="12"/>
        <v>15156</v>
      </c>
      <c r="K88" s="39">
        <f t="shared" si="12"/>
        <v>182864</v>
      </c>
      <c r="L88" s="39">
        <f t="shared" si="12"/>
        <v>821779</v>
      </c>
      <c r="M88" s="39">
        <f t="shared" si="12"/>
        <v>174454</v>
      </c>
      <c r="N88" s="39">
        <f t="shared" si="12"/>
        <v>444960</v>
      </c>
      <c r="O88" s="39">
        <f t="shared" si="12"/>
        <v>129914</v>
      </c>
      <c r="P88" s="39">
        <f t="shared" si="12"/>
        <v>3871578</v>
      </c>
      <c r="Q88" s="39">
        <f t="shared" si="12"/>
        <v>15542479</v>
      </c>
      <c r="R88" s="39">
        <f t="shared" si="12"/>
        <v>1147994</v>
      </c>
      <c r="S88" s="39">
        <f t="shared" si="12"/>
        <v>634566</v>
      </c>
      <c r="T88" s="39">
        <f t="shared" si="12"/>
        <v>18651885</v>
      </c>
      <c r="U88" s="39">
        <f t="shared" si="12"/>
        <v>845928</v>
      </c>
      <c r="V88" s="39">
        <f t="shared" si="12"/>
        <v>2882989</v>
      </c>
      <c r="W88" s="39">
        <f t="shared" si="12"/>
        <v>122674</v>
      </c>
      <c r="X88" s="39">
        <f t="shared" si="12"/>
        <v>198353</v>
      </c>
      <c r="Y88" s="39">
        <f t="shared" si="12"/>
        <v>1038827</v>
      </c>
      <c r="Z88" s="39">
        <f t="shared" si="12"/>
        <v>30065</v>
      </c>
      <c r="AA88" s="39">
        <f t="shared" si="12"/>
        <v>102167</v>
      </c>
      <c r="AB88" s="39">
        <f t="shared" si="12"/>
        <v>470406</v>
      </c>
      <c r="AC88" s="39">
        <f t="shared" si="12"/>
        <v>15311</v>
      </c>
      <c r="AD88" s="39">
        <f t="shared" si="12"/>
        <v>41403</v>
      </c>
      <c r="AE88" s="39">
        <f t="shared" si="12"/>
        <v>34857</v>
      </c>
      <c r="AF88" s="39">
        <f t="shared" si="12"/>
        <v>2357517.594</v>
      </c>
      <c r="AG88" s="39">
        <f t="shared" si="12"/>
        <v>3595818.3260000004</v>
      </c>
      <c r="AH88" s="39">
        <f t="shared" si="12"/>
        <v>1014117.262</v>
      </c>
      <c r="AI88" s="39">
        <f t="shared" si="12"/>
        <v>216480</v>
      </c>
      <c r="AJ88" s="39">
        <f t="shared" si="12"/>
        <v>36611</v>
      </c>
      <c r="AK88" s="39">
        <f t="shared" si="12"/>
        <v>0</v>
      </c>
      <c r="AL88" s="39">
        <f t="shared" si="12"/>
        <v>471079.78</v>
      </c>
      <c r="AM88" s="39">
        <f t="shared" si="12"/>
        <v>2559219.473</v>
      </c>
      <c r="AN88" s="39">
        <f t="shared" si="12"/>
        <v>1578024.026</v>
      </c>
      <c r="AO88" s="39">
        <f t="shared" si="12"/>
        <v>356154.68</v>
      </c>
      <c r="AP88" s="39">
        <f t="shared" si="12"/>
        <v>6703</v>
      </c>
      <c r="AQ88" s="39">
        <f t="shared" si="12"/>
        <v>1467942</v>
      </c>
      <c r="AR88" s="39"/>
      <c r="AS88" s="205">
        <f t="shared" si="10"/>
        <v>65943160.140999995</v>
      </c>
      <c r="AT88" s="39"/>
      <c r="AU88" s="39"/>
      <c r="AV88" s="39"/>
      <c r="AW88" s="39"/>
      <c r="AX88" s="216"/>
    </row>
    <row r="89" spans="1:50" s="228" customFormat="1" ht="11.25" customHeight="1">
      <c r="A89" s="229"/>
      <c r="B89" s="216"/>
      <c r="C89" s="39"/>
      <c r="D89" s="218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216"/>
      <c r="U89" s="216"/>
      <c r="V89" s="216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205"/>
      <c r="AT89" s="39"/>
      <c r="AU89" s="39"/>
      <c r="AV89" s="39"/>
      <c r="AW89" s="39"/>
      <c r="AX89" s="216"/>
    </row>
    <row r="90" spans="1:50" s="228" customFormat="1" ht="11.25" customHeight="1" hidden="1" outlineLevel="1">
      <c r="A90" s="229" t="s">
        <v>250</v>
      </c>
      <c r="B90" s="216"/>
      <c r="C90" s="217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7"/>
      <c r="Q90" s="217"/>
      <c r="R90" s="217"/>
      <c r="S90" s="217"/>
      <c r="T90" s="216"/>
      <c r="U90" s="216"/>
      <c r="V90" s="216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P90" s="218"/>
      <c r="AQ90" s="218"/>
      <c r="AS90" s="205"/>
      <c r="AT90" s="39"/>
      <c r="AU90" s="39"/>
      <c r="AV90" s="39"/>
      <c r="AW90" s="39"/>
      <c r="AX90" s="216"/>
    </row>
    <row r="91" spans="1:50" s="228" customFormat="1" ht="11.25" customHeight="1" hidden="1" outlineLevel="1">
      <c r="A91" s="206" t="s">
        <v>251</v>
      </c>
      <c r="B91" s="216">
        <v>0</v>
      </c>
      <c r="C91" s="216">
        <v>0</v>
      </c>
      <c r="D91" s="216">
        <v>0</v>
      </c>
      <c r="E91" s="216">
        <v>0</v>
      </c>
      <c r="F91" s="216">
        <v>0</v>
      </c>
      <c r="G91" s="216"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16">
        <v>0</v>
      </c>
      <c r="Q91" s="216">
        <v>0</v>
      </c>
      <c r="R91" s="216">
        <v>0</v>
      </c>
      <c r="S91" s="216">
        <v>0</v>
      </c>
      <c r="T91" s="216">
        <v>0</v>
      </c>
      <c r="U91" s="216">
        <v>0</v>
      </c>
      <c r="V91" s="216">
        <v>0</v>
      </c>
      <c r="W91" s="216">
        <v>0</v>
      </c>
      <c r="X91" s="216">
        <v>0</v>
      </c>
      <c r="Y91" s="216">
        <v>0</v>
      </c>
      <c r="Z91" s="216">
        <v>0</v>
      </c>
      <c r="AA91" s="216">
        <v>0</v>
      </c>
      <c r="AB91" s="216">
        <v>0</v>
      </c>
      <c r="AC91" s="216">
        <v>0</v>
      </c>
      <c r="AD91" s="216">
        <v>0</v>
      </c>
      <c r="AE91" s="216">
        <v>0</v>
      </c>
      <c r="AF91" s="216">
        <v>121676.899</v>
      </c>
      <c r="AG91" s="216">
        <v>-47495.26</v>
      </c>
      <c r="AH91" s="216">
        <v>-62803.841</v>
      </c>
      <c r="AI91" s="216">
        <v>0</v>
      </c>
      <c r="AJ91" s="216">
        <v>0</v>
      </c>
      <c r="AK91" s="216">
        <v>0</v>
      </c>
      <c r="AL91" s="216">
        <v>0</v>
      </c>
      <c r="AM91" s="216">
        <v>0</v>
      </c>
      <c r="AN91" s="216">
        <v>0</v>
      </c>
      <c r="AO91" s="216">
        <v>0</v>
      </c>
      <c r="AP91" s="216">
        <v>0</v>
      </c>
      <c r="AQ91" s="216">
        <v>0</v>
      </c>
      <c r="AR91" s="216"/>
      <c r="AS91" s="205">
        <f t="shared" si="10"/>
        <v>11377.797999999995</v>
      </c>
      <c r="AT91" s="39"/>
      <c r="AU91" s="39"/>
      <c r="AV91" s="39"/>
      <c r="AW91" s="39"/>
      <c r="AX91" s="216"/>
    </row>
    <row r="92" spans="1:50" s="228" customFormat="1" ht="11.25" customHeight="1" hidden="1" outlineLevel="1">
      <c r="A92" s="206" t="s">
        <v>252</v>
      </c>
      <c r="B92" s="216">
        <v>0</v>
      </c>
      <c r="C92" s="216">
        <v>0</v>
      </c>
      <c r="D92" s="216">
        <v>0</v>
      </c>
      <c r="E92" s="216">
        <v>0</v>
      </c>
      <c r="F92" s="216">
        <v>0</v>
      </c>
      <c r="G92" s="216">
        <v>0</v>
      </c>
      <c r="H92" s="216">
        <v>1805</v>
      </c>
      <c r="I92" s="216">
        <v>97</v>
      </c>
      <c r="J92" s="216">
        <v>412</v>
      </c>
      <c r="K92" s="216">
        <v>0</v>
      </c>
      <c r="L92" s="216">
        <v>0</v>
      </c>
      <c r="M92" s="216">
        <v>2299</v>
      </c>
      <c r="N92" s="216">
        <v>8252</v>
      </c>
      <c r="O92" s="216">
        <v>0</v>
      </c>
      <c r="P92" s="216">
        <v>0</v>
      </c>
      <c r="Q92" s="216">
        <v>0</v>
      </c>
      <c r="R92" s="216">
        <v>0</v>
      </c>
      <c r="S92" s="216">
        <v>0</v>
      </c>
      <c r="T92" s="216">
        <v>0</v>
      </c>
      <c r="U92" s="216">
        <v>0</v>
      </c>
      <c r="V92" s="216">
        <v>0</v>
      </c>
      <c r="W92" s="216">
        <v>1394</v>
      </c>
      <c r="X92" s="216">
        <v>10315</v>
      </c>
      <c r="Y92" s="216">
        <v>0</v>
      </c>
      <c r="Z92" s="216">
        <v>0</v>
      </c>
      <c r="AA92" s="216">
        <v>8823</v>
      </c>
      <c r="AB92" s="216">
        <v>1730</v>
      </c>
      <c r="AC92" s="216">
        <v>654</v>
      </c>
      <c r="AD92" s="216">
        <v>1252</v>
      </c>
      <c r="AE92" s="216">
        <v>3071</v>
      </c>
      <c r="AF92" s="216">
        <v>3636.863</v>
      </c>
      <c r="AG92" s="216">
        <v>3150.692</v>
      </c>
      <c r="AH92" s="216">
        <v>672.998</v>
      </c>
      <c r="AI92" s="216">
        <v>0</v>
      </c>
      <c r="AJ92" s="216">
        <v>0</v>
      </c>
      <c r="AK92" s="216">
        <v>0</v>
      </c>
      <c r="AL92" s="216">
        <v>80.201</v>
      </c>
      <c r="AM92" s="216">
        <v>1099.218</v>
      </c>
      <c r="AN92" s="216">
        <v>315.627</v>
      </c>
      <c r="AO92" s="216">
        <v>0</v>
      </c>
      <c r="AP92" s="216">
        <v>0</v>
      </c>
      <c r="AQ92" s="216">
        <v>0</v>
      </c>
      <c r="AR92" s="216"/>
      <c r="AS92" s="205">
        <f t="shared" si="10"/>
        <v>49059.599</v>
      </c>
      <c r="AT92" s="39"/>
      <c r="AU92" s="39"/>
      <c r="AV92" s="39"/>
      <c r="AW92" s="39"/>
      <c r="AX92" s="216"/>
    </row>
    <row r="93" spans="1:50" s="228" customFormat="1" ht="11.25" customHeight="1" hidden="1" outlineLevel="1">
      <c r="A93" s="206" t="s">
        <v>253</v>
      </c>
      <c r="B93" s="216">
        <v>11947</v>
      </c>
      <c r="C93" s="231">
        <v>1432</v>
      </c>
      <c r="D93" s="218">
        <v>4</v>
      </c>
      <c r="E93" s="216">
        <v>0</v>
      </c>
      <c r="F93" s="216">
        <v>7526</v>
      </c>
      <c r="G93" s="216">
        <v>19584</v>
      </c>
      <c r="H93" s="216">
        <v>0</v>
      </c>
      <c r="I93" s="216">
        <v>0</v>
      </c>
      <c r="J93" s="216">
        <v>0</v>
      </c>
      <c r="K93" s="216">
        <v>1942.3188064426918</v>
      </c>
      <c r="L93" s="216">
        <v>8728.681193557308</v>
      </c>
      <c r="M93" s="216">
        <v>0</v>
      </c>
      <c r="N93" s="216">
        <v>0</v>
      </c>
      <c r="O93" s="216">
        <v>837</v>
      </c>
      <c r="P93" s="216">
        <v>378</v>
      </c>
      <c r="Q93" s="216">
        <v>3430</v>
      </c>
      <c r="R93" s="216">
        <v>424</v>
      </c>
      <c r="S93" s="216">
        <v>0</v>
      </c>
      <c r="T93" s="216">
        <v>1909</v>
      </c>
      <c r="U93" s="216">
        <v>8</v>
      </c>
      <c r="V93" s="216">
        <v>0</v>
      </c>
      <c r="W93" s="216">
        <v>2324</v>
      </c>
      <c r="X93" s="216">
        <v>11017</v>
      </c>
      <c r="Y93" s="216">
        <v>0</v>
      </c>
      <c r="Z93" s="216">
        <v>0</v>
      </c>
      <c r="AA93" s="216">
        <v>-4661</v>
      </c>
      <c r="AB93" s="216">
        <v>84827</v>
      </c>
      <c r="AC93" s="216">
        <v>0</v>
      </c>
      <c r="AD93" s="216">
        <v>0</v>
      </c>
      <c r="AE93" s="216">
        <v>0</v>
      </c>
      <c r="AF93" s="216">
        <v>30363.569</v>
      </c>
      <c r="AG93" s="216">
        <v>23992.373</v>
      </c>
      <c r="AH93" s="216">
        <v>11224.068</v>
      </c>
      <c r="AI93" s="216">
        <v>0</v>
      </c>
      <c r="AJ93" s="216">
        <v>0</v>
      </c>
      <c r="AK93" s="216">
        <v>0</v>
      </c>
      <c r="AL93" s="216">
        <v>382.304</v>
      </c>
      <c r="AM93" s="216">
        <v>3405.088</v>
      </c>
      <c r="AN93" s="216">
        <v>3258.534</v>
      </c>
      <c r="AO93" s="216">
        <v>0</v>
      </c>
      <c r="AP93" s="216">
        <v>0</v>
      </c>
      <c r="AQ93" s="216">
        <v>3237</v>
      </c>
      <c r="AR93" s="216"/>
      <c r="AS93" s="205">
        <f t="shared" si="10"/>
        <v>227519.936</v>
      </c>
      <c r="AT93" s="39"/>
      <c r="AU93" s="39"/>
      <c r="AV93" s="39"/>
      <c r="AW93" s="39"/>
      <c r="AX93" s="216"/>
    </row>
    <row r="94" spans="1:50" s="228" customFormat="1" ht="11.25" customHeight="1" collapsed="1">
      <c r="A94" s="229" t="s">
        <v>254</v>
      </c>
      <c r="B94" s="216">
        <f>SUM(B91:B93)</f>
        <v>11947</v>
      </c>
      <c r="C94" s="216">
        <f aca="true" t="shared" si="13" ref="C94:AQ94">SUM(C91:C93)</f>
        <v>1432</v>
      </c>
      <c r="D94" s="216">
        <f t="shared" si="13"/>
        <v>4</v>
      </c>
      <c r="E94" s="216">
        <f t="shared" si="13"/>
        <v>0</v>
      </c>
      <c r="F94" s="216">
        <f t="shared" si="13"/>
        <v>7526</v>
      </c>
      <c r="G94" s="216">
        <f t="shared" si="13"/>
        <v>19584</v>
      </c>
      <c r="H94" s="216">
        <f t="shared" si="13"/>
        <v>1805</v>
      </c>
      <c r="I94" s="216">
        <f t="shared" si="13"/>
        <v>97</v>
      </c>
      <c r="J94" s="216">
        <f t="shared" si="13"/>
        <v>412</v>
      </c>
      <c r="K94" s="216">
        <f t="shared" si="13"/>
        <v>1942.3188064426918</v>
      </c>
      <c r="L94" s="216">
        <f t="shared" si="13"/>
        <v>8728.681193557308</v>
      </c>
      <c r="M94" s="216">
        <f t="shared" si="13"/>
        <v>2299</v>
      </c>
      <c r="N94" s="216">
        <f t="shared" si="13"/>
        <v>8252</v>
      </c>
      <c r="O94" s="216">
        <f t="shared" si="13"/>
        <v>837</v>
      </c>
      <c r="P94" s="216">
        <f t="shared" si="13"/>
        <v>378</v>
      </c>
      <c r="Q94" s="216">
        <f t="shared" si="13"/>
        <v>3430</v>
      </c>
      <c r="R94" s="216">
        <f t="shared" si="13"/>
        <v>424</v>
      </c>
      <c r="S94" s="216">
        <f t="shared" si="13"/>
        <v>0</v>
      </c>
      <c r="T94" s="216">
        <f t="shared" si="13"/>
        <v>1909</v>
      </c>
      <c r="U94" s="216">
        <f t="shared" si="13"/>
        <v>8</v>
      </c>
      <c r="V94" s="216">
        <f t="shared" si="13"/>
        <v>0</v>
      </c>
      <c r="W94" s="216">
        <f t="shared" si="13"/>
        <v>3718</v>
      </c>
      <c r="X94" s="216">
        <f t="shared" si="13"/>
        <v>21332</v>
      </c>
      <c r="Y94" s="216">
        <f t="shared" si="13"/>
        <v>0</v>
      </c>
      <c r="Z94" s="216">
        <f t="shared" si="13"/>
        <v>0</v>
      </c>
      <c r="AA94" s="216">
        <f t="shared" si="13"/>
        <v>4162</v>
      </c>
      <c r="AB94" s="216">
        <f t="shared" si="13"/>
        <v>86557</v>
      </c>
      <c r="AC94" s="216">
        <f t="shared" si="13"/>
        <v>654</v>
      </c>
      <c r="AD94" s="216">
        <f t="shared" si="13"/>
        <v>1252</v>
      </c>
      <c r="AE94" s="216">
        <f t="shared" si="13"/>
        <v>3071</v>
      </c>
      <c r="AF94" s="216">
        <f t="shared" si="13"/>
        <v>155677.331</v>
      </c>
      <c r="AG94" s="216">
        <f t="shared" si="13"/>
        <v>-20352.195</v>
      </c>
      <c r="AH94" s="216">
        <f t="shared" si="13"/>
        <v>-50906.775</v>
      </c>
      <c r="AI94" s="216">
        <f t="shared" si="13"/>
        <v>0</v>
      </c>
      <c r="AJ94" s="216">
        <f t="shared" si="13"/>
        <v>0</v>
      </c>
      <c r="AK94" s="216">
        <f t="shared" si="13"/>
        <v>0</v>
      </c>
      <c r="AL94" s="216">
        <f t="shared" si="13"/>
        <v>462.505</v>
      </c>
      <c r="AM94" s="216">
        <f t="shared" si="13"/>
        <v>4504.3060000000005</v>
      </c>
      <c r="AN94" s="216">
        <f t="shared" si="13"/>
        <v>3574.161</v>
      </c>
      <c r="AO94" s="216">
        <f t="shared" si="13"/>
        <v>0</v>
      </c>
      <c r="AP94" s="216">
        <f t="shared" si="13"/>
        <v>0</v>
      </c>
      <c r="AQ94" s="216">
        <f t="shared" si="13"/>
        <v>3237</v>
      </c>
      <c r="AR94" s="39"/>
      <c r="AS94" s="205">
        <f t="shared" si="10"/>
        <v>287957.333</v>
      </c>
      <c r="AT94" s="39"/>
      <c r="AU94" s="39"/>
      <c r="AV94" s="39"/>
      <c r="AW94" s="39"/>
      <c r="AX94" s="216"/>
    </row>
    <row r="95" spans="1:50" s="228" customFormat="1" ht="11.25" customHeight="1">
      <c r="A95" s="206"/>
      <c r="B95" s="216"/>
      <c r="C95" s="217"/>
      <c r="D95" s="218"/>
      <c r="E95" s="218"/>
      <c r="F95" s="218"/>
      <c r="G95" s="218"/>
      <c r="H95" s="218"/>
      <c r="I95" s="218"/>
      <c r="J95" s="218"/>
      <c r="K95" s="218"/>
      <c r="L95" s="218"/>
      <c r="M95" s="39"/>
      <c r="N95" s="39"/>
      <c r="O95" s="218"/>
      <c r="P95" s="216"/>
      <c r="Q95" s="216"/>
      <c r="R95" s="216"/>
      <c r="S95" s="216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P95" s="218"/>
      <c r="AQ95" s="218"/>
      <c r="AS95" s="205"/>
      <c r="AT95" s="39"/>
      <c r="AU95" s="39"/>
      <c r="AV95" s="39"/>
      <c r="AW95" s="39"/>
      <c r="AX95" s="216"/>
    </row>
    <row r="96" spans="1:50" s="228" customFormat="1" ht="11.25" customHeight="1" hidden="1" outlineLevel="1">
      <c r="A96" s="229" t="s">
        <v>255</v>
      </c>
      <c r="B96" s="216"/>
      <c r="C96" s="217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7"/>
      <c r="Q96" s="217"/>
      <c r="R96" s="217"/>
      <c r="S96" s="217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P96" s="218"/>
      <c r="AQ96" s="218"/>
      <c r="AS96" s="205">
        <f t="shared" si="10"/>
        <v>0</v>
      </c>
      <c r="AT96" s="39"/>
      <c r="AU96" s="39"/>
      <c r="AV96" s="39"/>
      <c r="AW96" s="39"/>
      <c r="AX96" s="216"/>
    </row>
    <row r="97" spans="1:50" s="228" customFormat="1" ht="11.25" customHeight="1" hidden="1" outlineLevel="1">
      <c r="A97" s="206" t="s">
        <v>256</v>
      </c>
      <c r="B97" s="216">
        <v>0</v>
      </c>
      <c r="C97" s="216">
        <v>0</v>
      </c>
      <c r="D97" s="218">
        <v>0</v>
      </c>
      <c r="E97" s="216">
        <v>0</v>
      </c>
      <c r="F97" s="216"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6">
        <v>0</v>
      </c>
      <c r="O97" s="216">
        <v>57</v>
      </c>
      <c r="P97" s="216">
        <v>0</v>
      </c>
      <c r="Q97" s="216">
        <v>0</v>
      </c>
      <c r="R97" s="216">
        <v>0</v>
      </c>
      <c r="S97" s="216">
        <v>0</v>
      </c>
      <c r="T97" s="216"/>
      <c r="U97" s="216"/>
      <c r="V97" s="216"/>
      <c r="W97" s="216"/>
      <c r="X97" s="216"/>
      <c r="Y97" s="216">
        <v>0</v>
      </c>
      <c r="Z97" s="216">
        <v>0</v>
      </c>
      <c r="AA97" s="216">
        <v>0</v>
      </c>
      <c r="AB97" s="216">
        <v>0</v>
      </c>
      <c r="AC97" s="216">
        <v>0</v>
      </c>
      <c r="AD97" s="216">
        <v>0</v>
      </c>
      <c r="AE97" s="216">
        <v>0</v>
      </c>
      <c r="AF97" s="216">
        <v>0</v>
      </c>
      <c r="AG97" s="216">
        <v>0</v>
      </c>
      <c r="AH97" s="216">
        <v>0</v>
      </c>
      <c r="AI97" s="216">
        <v>0</v>
      </c>
      <c r="AJ97" s="216">
        <v>0</v>
      </c>
      <c r="AK97" s="216">
        <v>0</v>
      </c>
      <c r="AL97" s="216">
        <v>0</v>
      </c>
      <c r="AM97" s="216">
        <v>0</v>
      </c>
      <c r="AN97" s="216">
        <v>0</v>
      </c>
      <c r="AO97" s="216">
        <v>0</v>
      </c>
      <c r="AP97" s="216">
        <v>0</v>
      </c>
      <c r="AQ97" s="216">
        <v>0</v>
      </c>
      <c r="AR97" s="216"/>
      <c r="AS97" s="205">
        <f t="shared" si="10"/>
        <v>57</v>
      </c>
      <c r="AT97" s="39"/>
      <c r="AU97" s="39"/>
      <c r="AV97" s="39"/>
      <c r="AW97" s="39"/>
      <c r="AX97" s="216"/>
    </row>
    <row r="98" spans="1:50" s="228" customFormat="1" ht="11.25" customHeight="1" hidden="1" outlineLevel="1">
      <c r="A98" s="206" t="s">
        <v>257</v>
      </c>
      <c r="B98" s="216">
        <v>23813</v>
      </c>
      <c r="C98" s="232">
        <v>8029</v>
      </c>
      <c r="D98" s="232">
        <v>1588</v>
      </c>
      <c r="E98" s="216">
        <v>45875</v>
      </c>
      <c r="F98" s="216">
        <v>792</v>
      </c>
      <c r="G98" s="216">
        <v>791</v>
      </c>
      <c r="H98" s="216">
        <v>1956</v>
      </c>
      <c r="I98" s="216">
        <v>203</v>
      </c>
      <c r="J98" s="216">
        <v>0</v>
      </c>
      <c r="K98" s="216">
        <v>6064</v>
      </c>
      <c r="L98" s="216">
        <v>27252</v>
      </c>
      <c r="M98" s="216">
        <v>0</v>
      </c>
      <c r="N98" s="216">
        <v>0</v>
      </c>
      <c r="O98" s="216">
        <v>0</v>
      </c>
      <c r="P98" s="216">
        <v>32891</v>
      </c>
      <c r="Q98" s="216">
        <v>49759</v>
      </c>
      <c r="R98" s="216">
        <v>5892</v>
      </c>
      <c r="S98" s="216">
        <v>3585</v>
      </c>
      <c r="T98" s="216">
        <v>239391</v>
      </c>
      <c r="U98" s="216">
        <v>19879</v>
      </c>
      <c r="V98" s="216">
        <v>80244</v>
      </c>
      <c r="W98" s="216">
        <v>9738</v>
      </c>
      <c r="X98" s="216">
        <v>26183</v>
      </c>
      <c r="Y98" s="216">
        <v>0</v>
      </c>
      <c r="Z98" s="216">
        <v>166</v>
      </c>
      <c r="AA98" s="216">
        <v>43</v>
      </c>
      <c r="AB98" s="216">
        <v>0</v>
      </c>
      <c r="AC98" s="216">
        <v>0</v>
      </c>
      <c r="AD98" s="216">
        <v>0</v>
      </c>
      <c r="AE98" s="216">
        <v>1249</v>
      </c>
      <c r="AF98" s="216">
        <v>23947.866</v>
      </c>
      <c r="AG98" s="216">
        <v>11592.965</v>
      </c>
      <c r="AH98" s="216">
        <v>4175.595</v>
      </c>
      <c r="AI98" s="216">
        <v>4639</v>
      </c>
      <c r="AJ98" s="216">
        <v>357</v>
      </c>
      <c r="AK98" s="216">
        <v>24294</v>
      </c>
      <c r="AL98" s="216">
        <v>5706.106</v>
      </c>
      <c r="AM98" s="216">
        <v>26819.573</v>
      </c>
      <c r="AN98" s="216">
        <v>20391.476</v>
      </c>
      <c r="AO98" s="216">
        <v>0</v>
      </c>
      <c r="AP98" s="216">
        <v>1400</v>
      </c>
      <c r="AQ98" s="216">
        <v>6816</v>
      </c>
      <c r="AR98" s="216"/>
      <c r="AS98" s="205">
        <f t="shared" si="10"/>
        <v>715522.581</v>
      </c>
      <c r="AT98" s="39"/>
      <c r="AU98" s="39"/>
      <c r="AV98" s="39"/>
      <c r="AW98" s="39"/>
      <c r="AX98" s="216"/>
    </row>
    <row r="99" spans="1:50" s="228" customFormat="1" ht="11.25" customHeight="1" hidden="1" outlineLevel="1">
      <c r="A99" s="206" t="s">
        <v>258</v>
      </c>
      <c r="B99" s="216">
        <v>0</v>
      </c>
      <c r="C99" s="216"/>
      <c r="D99" s="218"/>
      <c r="E99" s="216">
        <v>0</v>
      </c>
      <c r="F99" s="216">
        <v>0</v>
      </c>
      <c r="G99" s="216">
        <v>0</v>
      </c>
      <c r="H99" s="216">
        <v>0</v>
      </c>
      <c r="I99" s="216">
        <v>0</v>
      </c>
      <c r="J99" s="216">
        <v>0</v>
      </c>
      <c r="K99" s="216">
        <v>0</v>
      </c>
      <c r="L99" s="216">
        <v>0</v>
      </c>
      <c r="M99" s="216">
        <v>0</v>
      </c>
      <c r="N99" s="216">
        <v>0</v>
      </c>
      <c r="O99" s="216">
        <v>0</v>
      </c>
      <c r="P99" s="216">
        <v>0</v>
      </c>
      <c r="Q99" s="216">
        <v>0</v>
      </c>
      <c r="R99" s="216">
        <v>0</v>
      </c>
      <c r="S99" s="216">
        <v>0</v>
      </c>
      <c r="T99" s="216"/>
      <c r="U99" s="216"/>
      <c r="V99" s="216"/>
      <c r="W99" s="216"/>
      <c r="X99" s="216"/>
      <c r="Y99" s="216">
        <v>0</v>
      </c>
      <c r="Z99" s="216">
        <v>0</v>
      </c>
      <c r="AA99" s="216">
        <v>0</v>
      </c>
      <c r="AB99" s="216">
        <v>0</v>
      </c>
      <c r="AC99" s="216">
        <v>0</v>
      </c>
      <c r="AD99" s="216">
        <v>0</v>
      </c>
      <c r="AE99" s="216">
        <v>0</v>
      </c>
      <c r="AF99" s="216">
        <v>0</v>
      </c>
      <c r="AG99" s="216">
        <v>0</v>
      </c>
      <c r="AH99" s="216">
        <v>0</v>
      </c>
      <c r="AI99" s="216">
        <v>0</v>
      </c>
      <c r="AJ99" s="216">
        <v>0</v>
      </c>
      <c r="AK99" s="216">
        <v>0</v>
      </c>
      <c r="AL99" s="216"/>
      <c r="AM99" s="216"/>
      <c r="AN99" s="216"/>
      <c r="AO99" s="216"/>
      <c r="AP99" s="216"/>
      <c r="AQ99" s="216">
        <v>587</v>
      </c>
      <c r="AR99" s="216"/>
      <c r="AS99" s="205">
        <f t="shared" si="10"/>
        <v>587</v>
      </c>
      <c r="AT99" s="39"/>
      <c r="AU99" s="39"/>
      <c r="AV99" s="39"/>
      <c r="AW99" s="39"/>
      <c r="AX99" s="216"/>
    </row>
    <row r="100" spans="1:50" s="228" customFormat="1" ht="11.25" customHeight="1" collapsed="1">
      <c r="A100" s="229" t="s">
        <v>259</v>
      </c>
      <c r="B100" s="39">
        <f>SUM(B97:B99)</f>
        <v>23813</v>
      </c>
      <c r="C100" s="39">
        <f aca="true" t="shared" si="14" ref="C100:AQ100">SUM(C97:C99)</f>
        <v>8029</v>
      </c>
      <c r="D100" s="39">
        <f t="shared" si="14"/>
        <v>1588</v>
      </c>
      <c r="E100" s="39">
        <f t="shared" si="14"/>
        <v>45875</v>
      </c>
      <c r="F100" s="39">
        <f t="shared" si="14"/>
        <v>792</v>
      </c>
      <c r="G100" s="39">
        <f t="shared" si="14"/>
        <v>791</v>
      </c>
      <c r="H100" s="39">
        <f t="shared" si="14"/>
        <v>1956</v>
      </c>
      <c r="I100" s="39">
        <f t="shared" si="14"/>
        <v>203</v>
      </c>
      <c r="J100" s="39">
        <f t="shared" si="14"/>
        <v>0</v>
      </c>
      <c r="K100" s="39">
        <f t="shared" si="14"/>
        <v>6064</v>
      </c>
      <c r="L100" s="39">
        <f t="shared" si="14"/>
        <v>27252</v>
      </c>
      <c r="M100" s="39">
        <f t="shared" si="14"/>
        <v>0</v>
      </c>
      <c r="N100" s="39">
        <f t="shared" si="14"/>
        <v>0</v>
      </c>
      <c r="O100" s="39">
        <f t="shared" si="14"/>
        <v>57</v>
      </c>
      <c r="P100" s="39">
        <f t="shared" si="14"/>
        <v>32891</v>
      </c>
      <c r="Q100" s="39">
        <f t="shared" si="14"/>
        <v>49759</v>
      </c>
      <c r="R100" s="39">
        <f t="shared" si="14"/>
        <v>5892</v>
      </c>
      <c r="S100" s="39">
        <f t="shared" si="14"/>
        <v>3585</v>
      </c>
      <c r="T100" s="39">
        <f t="shared" si="14"/>
        <v>239391</v>
      </c>
      <c r="U100" s="39">
        <f t="shared" si="14"/>
        <v>19879</v>
      </c>
      <c r="V100" s="39">
        <f t="shared" si="14"/>
        <v>80244</v>
      </c>
      <c r="W100" s="39">
        <f t="shared" si="14"/>
        <v>9738</v>
      </c>
      <c r="X100" s="39">
        <f t="shared" si="14"/>
        <v>26183</v>
      </c>
      <c r="Y100" s="39">
        <f t="shared" si="14"/>
        <v>0</v>
      </c>
      <c r="Z100" s="39">
        <f t="shared" si="14"/>
        <v>166</v>
      </c>
      <c r="AA100" s="39">
        <f t="shared" si="14"/>
        <v>43</v>
      </c>
      <c r="AB100" s="39">
        <f t="shared" si="14"/>
        <v>0</v>
      </c>
      <c r="AC100" s="39">
        <f t="shared" si="14"/>
        <v>0</v>
      </c>
      <c r="AD100" s="39">
        <f t="shared" si="14"/>
        <v>0</v>
      </c>
      <c r="AE100" s="39">
        <f t="shared" si="14"/>
        <v>1249</v>
      </c>
      <c r="AF100" s="39">
        <f t="shared" si="14"/>
        <v>23947.866</v>
      </c>
      <c r="AG100" s="39">
        <f t="shared" si="14"/>
        <v>11592.965</v>
      </c>
      <c r="AH100" s="39">
        <f t="shared" si="14"/>
        <v>4175.595</v>
      </c>
      <c r="AI100" s="39">
        <f t="shared" si="14"/>
        <v>4639</v>
      </c>
      <c r="AJ100" s="39">
        <f t="shared" si="14"/>
        <v>357</v>
      </c>
      <c r="AK100" s="39">
        <f t="shared" si="14"/>
        <v>24294</v>
      </c>
      <c r="AL100" s="39">
        <f t="shared" si="14"/>
        <v>5706.106</v>
      </c>
      <c r="AM100" s="39">
        <f t="shared" si="14"/>
        <v>26819.573</v>
      </c>
      <c r="AN100" s="39">
        <f t="shared" si="14"/>
        <v>20391.476</v>
      </c>
      <c r="AO100" s="39">
        <f t="shared" si="14"/>
        <v>0</v>
      </c>
      <c r="AP100" s="39">
        <f t="shared" si="14"/>
        <v>1400</v>
      </c>
      <c r="AQ100" s="39">
        <f t="shared" si="14"/>
        <v>7403</v>
      </c>
      <c r="AR100" s="39"/>
      <c r="AS100" s="205">
        <f t="shared" si="10"/>
        <v>716166.581</v>
      </c>
      <c r="AT100" s="39"/>
      <c r="AU100" s="39"/>
      <c r="AV100" s="39"/>
      <c r="AW100" s="39"/>
      <c r="AX100" s="216"/>
    </row>
    <row r="101" spans="1:50" s="228" customFormat="1" ht="11.25" customHeight="1" hidden="1" outlineLevel="1">
      <c r="A101" s="229"/>
      <c r="B101" s="216"/>
      <c r="C101" s="217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7"/>
      <c r="Q101" s="217"/>
      <c r="R101" s="217"/>
      <c r="S101" s="217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6"/>
      <c r="AM101" s="216"/>
      <c r="AN101" s="216"/>
      <c r="AO101" s="216"/>
      <c r="AP101" s="218"/>
      <c r="AQ101" s="218"/>
      <c r="AS101" s="205"/>
      <c r="AT101" s="39"/>
      <c r="AU101" s="39"/>
      <c r="AV101" s="39"/>
      <c r="AW101" s="39"/>
      <c r="AX101" s="216"/>
    </row>
    <row r="102" spans="1:50" s="228" customFormat="1" ht="11.25" customHeight="1" hidden="1" outlineLevel="1">
      <c r="A102" s="229" t="s">
        <v>441</v>
      </c>
      <c r="B102" s="216">
        <v>0</v>
      </c>
      <c r="C102" s="216">
        <v>0</v>
      </c>
      <c r="D102" s="216">
        <v>0</v>
      </c>
      <c r="E102" s="216">
        <v>0</v>
      </c>
      <c r="F102" s="216">
        <v>0</v>
      </c>
      <c r="G102" s="216">
        <v>0</v>
      </c>
      <c r="H102" s="216">
        <v>0</v>
      </c>
      <c r="I102" s="216">
        <v>0</v>
      </c>
      <c r="J102" s="216">
        <v>0</v>
      </c>
      <c r="K102" s="216">
        <v>0</v>
      </c>
      <c r="L102" s="216">
        <v>0</v>
      </c>
      <c r="M102" s="216">
        <v>0</v>
      </c>
      <c r="N102" s="216">
        <v>0</v>
      </c>
      <c r="O102" s="216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216">
        <v>0</v>
      </c>
      <c r="X102" s="216">
        <v>0</v>
      </c>
      <c r="Y102" s="216">
        <v>0</v>
      </c>
      <c r="Z102" s="216">
        <v>0</v>
      </c>
      <c r="AA102" s="216">
        <v>0</v>
      </c>
      <c r="AB102" s="216">
        <v>0</v>
      </c>
      <c r="AC102" s="216">
        <v>0</v>
      </c>
      <c r="AD102" s="216">
        <v>0</v>
      </c>
      <c r="AE102" s="216">
        <v>0</v>
      </c>
      <c r="AF102" s="216">
        <v>0</v>
      </c>
      <c r="AG102" s="216">
        <v>0</v>
      </c>
      <c r="AH102" s="216">
        <v>0</v>
      </c>
      <c r="AI102" s="216">
        <v>0</v>
      </c>
      <c r="AJ102" s="216">
        <v>0</v>
      </c>
      <c r="AK102" s="216">
        <v>0</v>
      </c>
      <c r="AL102" s="216">
        <v>0</v>
      </c>
      <c r="AM102" s="216">
        <v>0</v>
      </c>
      <c r="AN102" s="216">
        <v>0</v>
      </c>
      <c r="AO102" s="216">
        <v>0</v>
      </c>
      <c r="AP102" s="216">
        <v>0</v>
      </c>
      <c r="AQ102" s="216">
        <v>0</v>
      </c>
      <c r="AR102" s="216"/>
      <c r="AS102" s="205">
        <f aca="true" t="shared" si="15" ref="AS102:AS121">SUM(B102:AQ102)</f>
        <v>0</v>
      </c>
      <c r="AT102" s="39"/>
      <c r="AU102" s="39"/>
      <c r="AV102" s="39"/>
      <c r="AW102" s="39"/>
      <c r="AX102" s="216"/>
    </row>
    <row r="103" spans="1:50" s="228" customFormat="1" ht="11.25" customHeight="1" collapsed="1">
      <c r="A103" s="206"/>
      <c r="B103" s="216"/>
      <c r="C103" s="217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7"/>
      <c r="Q103" s="217"/>
      <c r="R103" s="217"/>
      <c r="S103" s="217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6"/>
      <c r="AM103" s="216"/>
      <c r="AN103" s="216"/>
      <c r="AO103" s="216"/>
      <c r="AP103" s="218"/>
      <c r="AQ103" s="218"/>
      <c r="AS103" s="205"/>
      <c r="AT103" s="39"/>
      <c r="AU103" s="39"/>
      <c r="AV103" s="39"/>
      <c r="AW103" s="39"/>
      <c r="AX103" s="216"/>
    </row>
    <row r="104" spans="1:50" s="234" customFormat="1" ht="11.25" customHeight="1">
      <c r="A104" s="288" t="s">
        <v>444</v>
      </c>
      <c r="B104" s="39">
        <f>+B88+B94+B100+B102</f>
        <v>1709063</v>
      </c>
      <c r="C104" s="39">
        <f aca="true" t="shared" si="16" ref="C104:AQ104">+C88+C94+C100+C102</f>
        <v>408364</v>
      </c>
      <c r="D104" s="39">
        <f t="shared" si="16"/>
        <v>209518</v>
      </c>
      <c r="E104" s="39">
        <f t="shared" si="16"/>
        <v>1922591</v>
      </c>
      <c r="F104" s="39">
        <f t="shared" si="16"/>
        <v>207384</v>
      </c>
      <c r="G104" s="39">
        <f t="shared" si="16"/>
        <v>436670</v>
      </c>
      <c r="H104" s="39">
        <f t="shared" si="16"/>
        <v>108424</v>
      </c>
      <c r="I104" s="39">
        <f t="shared" si="16"/>
        <v>6312</v>
      </c>
      <c r="J104" s="39">
        <f t="shared" si="16"/>
        <v>15568</v>
      </c>
      <c r="K104" s="39">
        <f t="shared" si="16"/>
        <v>190870.3188064427</v>
      </c>
      <c r="L104" s="39">
        <f t="shared" si="16"/>
        <v>857759.6811935573</v>
      </c>
      <c r="M104" s="39">
        <f t="shared" si="16"/>
        <v>176753</v>
      </c>
      <c r="N104" s="39">
        <f t="shared" si="16"/>
        <v>453212</v>
      </c>
      <c r="O104" s="39">
        <f t="shared" si="16"/>
        <v>130808</v>
      </c>
      <c r="P104" s="39">
        <f t="shared" si="16"/>
        <v>3904847</v>
      </c>
      <c r="Q104" s="39">
        <f t="shared" si="16"/>
        <v>15595668</v>
      </c>
      <c r="R104" s="39">
        <f t="shared" si="16"/>
        <v>1154310</v>
      </c>
      <c r="S104" s="39">
        <f t="shared" si="16"/>
        <v>638151</v>
      </c>
      <c r="T104" s="39">
        <f t="shared" si="16"/>
        <v>18893185</v>
      </c>
      <c r="U104" s="39">
        <f t="shared" si="16"/>
        <v>865815</v>
      </c>
      <c r="V104" s="39">
        <f t="shared" si="16"/>
        <v>2963233</v>
      </c>
      <c r="W104" s="39">
        <f t="shared" si="16"/>
        <v>136130</v>
      </c>
      <c r="X104" s="39">
        <f t="shared" si="16"/>
        <v>245868</v>
      </c>
      <c r="Y104" s="39">
        <f t="shared" si="16"/>
        <v>1038827</v>
      </c>
      <c r="Z104" s="39">
        <f t="shared" si="16"/>
        <v>30231</v>
      </c>
      <c r="AA104" s="39">
        <f t="shared" si="16"/>
        <v>106372</v>
      </c>
      <c r="AB104" s="39">
        <f t="shared" si="16"/>
        <v>556963</v>
      </c>
      <c r="AC104" s="39">
        <f t="shared" si="16"/>
        <v>15965</v>
      </c>
      <c r="AD104" s="39">
        <f t="shared" si="16"/>
        <v>42655</v>
      </c>
      <c r="AE104" s="39">
        <f t="shared" si="16"/>
        <v>39177</v>
      </c>
      <c r="AF104" s="39">
        <f t="shared" si="16"/>
        <v>2537142.7909999997</v>
      </c>
      <c r="AG104" s="39">
        <f t="shared" si="16"/>
        <v>3587059.0960000004</v>
      </c>
      <c r="AH104" s="39">
        <f t="shared" si="16"/>
        <v>967386.0819999999</v>
      </c>
      <c r="AI104" s="39">
        <f t="shared" si="16"/>
        <v>221119</v>
      </c>
      <c r="AJ104" s="39">
        <f t="shared" si="16"/>
        <v>36968</v>
      </c>
      <c r="AK104" s="39">
        <f t="shared" si="16"/>
        <v>24294</v>
      </c>
      <c r="AL104" s="39">
        <f t="shared" si="16"/>
        <v>477248.39100000006</v>
      </c>
      <c r="AM104" s="39">
        <f t="shared" si="16"/>
        <v>2590543.352</v>
      </c>
      <c r="AN104" s="39">
        <f t="shared" si="16"/>
        <v>1601989.6630000002</v>
      </c>
      <c r="AO104" s="39">
        <f t="shared" si="16"/>
        <v>356154.68</v>
      </c>
      <c r="AP104" s="39">
        <f t="shared" si="16"/>
        <v>8103</v>
      </c>
      <c r="AQ104" s="39">
        <f t="shared" si="16"/>
        <v>1478582</v>
      </c>
      <c r="AR104" s="207"/>
      <c r="AS104" s="205">
        <f t="shared" si="15"/>
        <v>66947284.05500001</v>
      </c>
      <c r="AT104" s="207"/>
      <c r="AU104" s="207"/>
      <c r="AV104" s="207"/>
      <c r="AW104" s="207"/>
      <c r="AX104" s="233"/>
    </row>
    <row r="105" spans="1:50" s="228" customFormat="1" ht="11.25" customHeight="1">
      <c r="A105" s="206"/>
      <c r="B105" s="216"/>
      <c r="C105" s="217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7"/>
      <c r="Q105" s="217"/>
      <c r="R105" s="217"/>
      <c r="S105" s="217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P105" s="218"/>
      <c r="AQ105" s="218"/>
      <c r="AS105" s="205"/>
      <c r="AT105" s="39"/>
      <c r="AU105" s="39"/>
      <c r="AV105" s="39"/>
      <c r="AW105" s="39"/>
      <c r="AX105" s="216"/>
    </row>
    <row r="106" spans="1:50" s="228" customFormat="1" ht="11.25" customHeight="1">
      <c r="A106" s="235" t="s">
        <v>442</v>
      </c>
      <c r="B106" s="216"/>
      <c r="C106" s="217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7"/>
      <c r="Q106" s="217"/>
      <c r="R106" s="217"/>
      <c r="S106" s="217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P106" s="218"/>
      <c r="AQ106" s="218"/>
      <c r="AS106" s="205"/>
      <c r="AT106" s="39"/>
      <c r="AU106" s="39"/>
      <c r="AV106" s="39"/>
      <c r="AW106" s="39"/>
      <c r="AX106" s="216"/>
    </row>
    <row r="107" spans="1:50" s="228" customFormat="1" ht="11.25" customHeight="1">
      <c r="A107" s="206"/>
      <c r="B107" s="216"/>
      <c r="C107" s="217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7"/>
      <c r="Q107" s="217"/>
      <c r="R107" s="217"/>
      <c r="S107" s="217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P107" s="218"/>
      <c r="AQ107" s="218"/>
      <c r="AS107" s="205"/>
      <c r="AT107" s="39"/>
      <c r="AU107" s="39"/>
      <c r="AV107" s="39"/>
      <c r="AW107" s="39"/>
      <c r="AX107" s="216"/>
    </row>
    <row r="108" spans="1:50" s="228" customFormat="1" ht="11.25" customHeight="1" hidden="1" outlineLevel="1">
      <c r="A108" s="229" t="s">
        <v>430</v>
      </c>
      <c r="B108" s="216">
        <v>0</v>
      </c>
      <c r="C108" s="216">
        <v>0</v>
      </c>
      <c r="D108" s="216">
        <v>0</v>
      </c>
      <c r="E108" s="216">
        <v>0</v>
      </c>
      <c r="F108" s="216">
        <v>0</v>
      </c>
      <c r="G108" s="216">
        <v>0</v>
      </c>
      <c r="H108" s="216">
        <v>0</v>
      </c>
      <c r="I108" s="216">
        <v>0</v>
      </c>
      <c r="J108" s="216">
        <v>0</v>
      </c>
      <c r="K108" s="216">
        <v>0</v>
      </c>
      <c r="L108" s="216">
        <v>0</v>
      </c>
      <c r="M108" s="216">
        <v>0</v>
      </c>
      <c r="N108" s="216">
        <v>0</v>
      </c>
      <c r="O108" s="216">
        <v>0</v>
      </c>
      <c r="P108" s="216">
        <v>0</v>
      </c>
      <c r="Q108" s="216">
        <v>0</v>
      </c>
      <c r="R108" s="216">
        <v>0</v>
      </c>
      <c r="S108" s="216">
        <v>0</v>
      </c>
      <c r="T108" s="216">
        <v>0</v>
      </c>
      <c r="U108" s="216">
        <v>0</v>
      </c>
      <c r="V108" s="216">
        <v>0</v>
      </c>
      <c r="W108" s="216">
        <v>0</v>
      </c>
      <c r="X108" s="216">
        <v>0</v>
      </c>
      <c r="Y108" s="216">
        <v>0</v>
      </c>
      <c r="Z108" s="216">
        <v>0</v>
      </c>
      <c r="AA108" s="216">
        <v>0</v>
      </c>
      <c r="AB108" s="216">
        <v>0</v>
      </c>
      <c r="AC108" s="216">
        <v>0</v>
      </c>
      <c r="AD108" s="216">
        <v>0</v>
      </c>
      <c r="AE108" s="216">
        <v>0</v>
      </c>
      <c r="AF108" s="216">
        <v>0</v>
      </c>
      <c r="AG108" s="216">
        <v>0</v>
      </c>
      <c r="AH108" s="216">
        <v>0</v>
      </c>
      <c r="AI108" s="216">
        <v>0</v>
      </c>
      <c r="AJ108" s="216">
        <v>0</v>
      </c>
      <c r="AK108" s="216">
        <v>0</v>
      </c>
      <c r="AL108" s="216">
        <v>0</v>
      </c>
      <c r="AM108" s="216">
        <v>0</v>
      </c>
      <c r="AN108" s="216">
        <v>0</v>
      </c>
      <c r="AO108" s="216">
        <v>0</v>
      </c>
      <c r="AP108" s="216">
        <v>0</v>
      </c>
      <c r="AQ108" s="216">
        <v>0</v>
      </c>
      <c r="AR108" s="39"/>
      <c r="AS108" s="205">
        <f t="shared" si="15"/>
        <v>0</v>
      </c>
      <c r="AT108" s="39"/>
      <c r="AU108" s="39"/>
      <c r="AV108" s="39"/>
      <c r="AW108" s="39"/>
      <c r="AX108" s="216"/>
    </row>
    <row r="109" spans="1:50" s="228" customFormat="1" ht="11.25" customHeight="1" hidden="1" outlineLevel="1">
      <c r="A109" s="206"/>
      <c r="B109" s="216"/>
      <c r="C109" s="217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7"/>
      <c r="Q109" s="217"/>
      <c r="R109" s="217"/>
      <c r="S109" s="217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P109" s="218"/>
      <c r="AQ109" s="218"/>
      <c r="AS109" s="205"/>
      <c r="AT109" s="39"/>
      <c r="AU109" s="39"/>
      <c r="AV109" s="39"/>
      <c r="AW109" s="39"/>
      <c r="AX109" s="216"/>
    </row>
    <row r="110" spans="1:50" s="228" customFormat="1" ht="11.25" customHeight="1" hidden="1" outlineLevel="1">
      <c r="A110" s="206" t="s">
        <v>516</v>
      </c>
      <c r="B110" s="216"/>
      <c r="C110" s="217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7"/>
      <c r="Q110" s="217"/>
      <c r="R110" s="217"/>
      <c r="S110" s="217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P110" s="218"/>
      <c r="AQ110" s="218"/>
      <c r="AS110" s="205">
        <f t="shared" si="15"/>
        <v>0</v>
      </c>
      <c r="AT110" s="39"/>
      <c r="AU110" s="39"/>
      <c r="AV110" s="39"/>
      <c r="AW110" s="39"/>
      <c r="AX110" s="216"/>
    </row>
    <row r="111" spans="1:50" s="228" customFormat="1" ht="11.25" customHeight="1" hidden="1" outlineLevel="1">
      <c r="A111" s="206" t="s">
        <v>265</v>
      </c>
      <c r="B111" s="216">
        <v>0</v>
      </c>
      <c r="C111" s="216">
        <v>0</v>
      </c>
      <c r="D111" s="216">
        <v>0</v>
      </c>
      <c r="E111" s="216">
        <v>0</v>
      </c>
      <c r="F111" s="216">
        <v>0</v>
      </c>
      <c r="G111" s="216">
        <v>0</v>
      </c>
      <c r="H111" s="216">
        <v>0</v>
      </c>
      <c r="I111" s="216">
        <v>0</v>
      </c>
      <c r="J111" s="216">
        <v>0</v>
      </c>
      <c r="K111" s="216">
        <v>0</v>
      </c>
      <c r="L111" s="216">
        <v>0</v>
      </c>
      <c r="M111" s="216">
        <v>-15282</v>
      </c>
      <c r="N111" s="216">
        <v>-67436</v>
      </c>
      <c r="O111" s="216">
        <v>0</v>
      </c>
      <c r="P111" s="216">
        <v>0</v>
      </c>
      <c r="Q111" s="216">
        <v>0</v>
      </c>
      <c r="R111" s="216">
        <v>0</v>
      </c>
      <c r="S111" s="216">
        <v>0</v>
      </c>
      <c r="T111" s="216">
        <v>0</v>
      </c>
      <c r="U111" s="216">
        <v>0</v>
      </c>
      <c r="V111" s="216">
        <v>0</v>
      </c>
      <c r="W111" s="216">
        <v>0</v>
      </c>
      <c r="X111" s="216">
        <v>0</v>
      </c>
      <c r="Y111" s="216">
        <v>0</v>
      </c>
      <c r="Z111" s="216">
        <v>0</v>
      </c>
      <c r="AA111" s="216">
        <v>0</v>
      </c>
      <c r="AB111" s="216">
        <v>0</v>
      </c>
      <c r="AC111" s="216">
        <v>0</v>
      </c>
      <c r="AD111" s="216">
        <v>0</v>
      </c>
      <c r="AE111" s="216">
        <v>0</v>
      </c>
      <c r="AF111" s="216">
        <v>0</v>
      </c>
      <c r="AG111" s="216">
        <v>0</v>
      </c>
      <c r="AH111" s="216">
        <v>0</v>
      </c>
      <c r="AI111" s="216">
        <v>0</v>
      </c>
      <c r="AJ111" s="216">
        <v>0</v>
      </c>
      <c r="AK111" s="216">
        <v>0</v>
      </c>
      <c r="AL111" s="216">
        <v>0</v>
      </c>
      <c r="AM111" s="216">
        <v>0</v>
      </c>
      <c r="AN111" s="216">
        <v>0</v>
      </c>
      <c r="AO111" s="216">
        <v>0</v>
      </c>
      <c r="AP111" s="216">
        <v>0</v>
      </c>
      <c r="AQ111" s="216">
        <v>0</v>
      </c>
      <c r="AR111" s="216"/>
      <c r="AS111" s="205">
        <f t="shared" si="15"/>
        <v>-82718</v>
      </c>
      <c r="AT111" s="39"/>
      <c r="AU111" s="39"/>
      <c r="AV111" s="39"/>
      <c r="AW111" s="39"/>
      <c r="AX111" s="216"/>
    </row>
    <row r="112" spans="1:50" s="228" customFormat="1" ht="11.25" customHeight="1" hidden="1" outlineLevel="1">
      <c r="A112" s="206" t="s">
        <v>266</v>
      </c>
      <c r="B112" s="216">
        <v>0</v>
      </c>
      <c r="C112" s="216">
        <v>0</v>
      </c>
      <c r="D112" s="216">
        <v>0</v>
      </c>
      <c r="E112" s="216">
        <v>0</v>
      </c>
      <c r="F112" s="216">
        <v>0</v>
      </c>
      <c r="G112" s="216">
        <v>0</v>
      </c>
      <c r="H112" s="216">
        <v>0</v>
      </c>
      <c r="I112" s="216">
        <v>0</v>
      </c>
      <c r="J112" s="216">
        <v>0</v>
      </c>
      <c r="K112" s="216">
        <v>0</v>
      </c>
      <c r="L112" s="216">
        <v>0</v>
      </c>
      <c r="M112" s="216">
        <v>0</v>
      </c>
      <c r="N112" s="216">
        <v>0</v>
      </c>
      <c r="O112" s="216">
        <v>0</v>
      </c>
      <c r="P112" s="216">
        <v>0</v>
      </c>
      <c r="Q112" s="216">
        <v>0</v>
      </c>
      <c r="R112" s="216">
        <v>0</v>
      </c>
      <c r="S112" s="216">
        <v>0</v>
      </c>
      <c r="T112" s="216">
        <v>0</v>
      </c>
      <c r="U112" s="216">
        <v>0</v>
      </c>
      <c r="V112" s="216">
        <v>0</v>
      </c>
      <c r="W112" s="216">
        <v>0</v>
      </c>
      <c r="X112" s="216">
        <v>0</v>
      </c>
      <c r="Y112" s="216">
        <v>0</v>
      </c>
      <c r="Z112" s="216">
        <v>0</v>
      </c>
      <c r="AA112" s="216">
        <v>0</v>
      </c>
      <c r="AB112" s="216">
        <v>0</v>
      </c>
      <c r="AC112" s="216">
        <v>0</v>
      </c>
      <c r="AD112" s="216">
        <v>0</v>
      </c>
      <c r="AE112" s="216">
        <v>0</v>
      </c>
      <c r="AF112" s="216">
        <v>0</v>
      </c>
      <c r="AG112" s="216">
        <v>0</v>
      </c>
      <c r="AH112" s="216">
        <v>0</v>
      </c>
      <c r="AI112" s="216">
        <v>0</v>
      </c>
      <c r="AJ112" s="216">
        <v>0</v>
      </c>
      <c r="AK112" s="216">
        <v>0</v>
      </c>
      <c r="AL112" s="216">
        <v>0</v>
      </c>
      <c r="AM112" s="216">
        <v>0</v>
      </c>
      <c r="AN112" s="216">
        <v>0</v>
      </c>
      <c r="AO112" s="216">
        <v>0</v>
      </c>
      <c r="AP112" s="216">
        <v>0</v>
      </c>
      <c r="AQ112" s="216">
        <v>0</v>
      </c>
      <c r="AR112" s="216"/>
      <c r="AS112" s="205">
        <f t="shared" si="15"/>
        <v>0</v>
      </c>
      <c r="AT112" s="39"/>
      <c r="AU112" s="39"/>
      <c r="AV112" s="39"/>
      <c r="AW112" s="39"/>
      <c r="AX112" s="216"/>
    </row>
    <row r="113" spans="1:50" s="228" customFormat="1" ht="11.25" customHeight="1" hidden="1" outlineLevel="1">
      <c r="A113" s="206" t="s">
        <v>267</v>
      </c>
      <c r="B113" s="216">
        <v>0</v>
      </c>
      <c r="C113" s="216">
        <v>0</v>
      </c>
      <c r="D113" s="216">
        <v>0</v>
      </c>
      <c r="E113" s="216">
        <v>0</v>
      </c>
      <c r="F113" s="216">
        <v>0</v>
      </c>
      <c r="G113" s="216">
        <v>0</v>
      </c>
      <c r="H113" s="216">
        <v>0</v>
      </c>
      <c r="I113" s="216">
        <v>0</v>
      </c>
      <c r="J113" s="216">
        <v>0</v>
      </c>
      <c r="K113" s="216">
        <v>0</v>
      </c>
      <c r="L113" s="216">
        <v>0</v>
      </c>
      <c r="M113" s="216">
        <v>0</v>
      </c>
      <c r="N113" s="216">
        <v>0</v>
      </c>
      <c r="O113" s="216">
        <v>0</v>
      </c>
      <c r="P113" s="216">
        <v>0</v>
      </c>
      <c r="Q113" s="216">
        <v>0</v>
      </c>
      <c r="R113" s="216">
        <v>0</v>
      </c>
      <c r="S113" s="216">
        <v>0</v>
      </c>
      <c r="T113" s="216">
        <v>0</v>
      </c>
      <c r="U113" s="216">
        <v>0</v>
      </c>
      <c r="V113" s="216">
        <v>0</v>
      </c>
      <c r="W113" s="216">
        <v>0</v>
      </c>
      <c r="X113" s="216">
        <v>0</v>
      </c>
      <c r="Y113" s="216">
        <v>0</v>
      </c>
      <c r="Z113" s="216">
        <v>0</v>
      </c>
      <c r="AA113" s="216">
        <v>0</v>
      </c>
      <c r="AB113" s="216">
        <v>0</v>
      </c>
      <c r="AC113" s="216">
        <v>0</v>
      </c>
      <c r="AD113" s="216">
        <v>0</v>
      </c>
      <c r="AE113" s="216">
        <v>0</v>
      </c>
      <c r="AF113" s="216">
        <v>0</v>
      </c>
      <c r="AG113" s="216">
        <v>0</v>
      </c>
      <c r="AH113" s="216">
        <v>0</v>
      </c>
      <c r="AI113" s="216">
        <v>0</v>
      </c>
      <c r="AJ113" s="216">
        <v>0</v>
      </c>
      <c r="AK113" s="216">
        <v>0</v>
      </c>
      <c r="AL113" s="216">
        <v>0</v>
      </c>
      <c r="AM113" s="216">
        <v>0</v>
      </c>
      <c r="AN113" s="216">
        <v>0</v>
      </c>
      <c r="AO113" s="216">
        <v>0</v>
      </c>
      <c r="AP113" s="216">
        <v>0</v>
      </c>
      <c r="AQ113" s="216">
        <v>0</v>
      </c>
      <c r="AR113" s="216"/>
      <c r="AS113" s="205">
        <f t="shared" si="15"/>
        <v>0</v>
      </c>
      <c r="AT113" s="39"/>
      <c r="AU113" s="39"/>
      <c r="AV113" s="39"/>
      <c r="AW113" s="39"/>
      <c r="AX113" s="216"/>
    </row>
    <row r="114" spans="1:50" s="228" customFormat="1" ht="11.25" customHeight="1" hidden="1" outlineLevel="1">
      <c r="A114" s="206" t="s">
        <v>268</v>
      </c>
      <c r="B114" s="216">
        <v>1039</v>
      </c>
      <c r="C114" s="218">
        <v>0</v>
      </c>
      <c r="D114" s="232">
        <v>169</v>
      </c>
      <c r="E114" s="216">
        <v>0</v>
      </c>
      <c r="F114" s="216">
        <v>0</v>
      </c>
      <c r="G114" s="216">
        <v>0</v>
      </c>
      <c r="H114" s="216">
        <v>0</v>
      </c>
      <c r="I114" s="216">
        <v>0</v>
      </c>
      <c r="J114" s="216">
        <v>0</v>
      </c>
      <c r="K114" s="216">
        <v>0</v>
      </c>
      <c r="L114" s="216">
        <v>0</v>
      </c>
      <c r="M114" s="216">
        <v>0</v>
      </c>
      <c r="N114" s="216">
        <v>0</v>
      </c>
      <c r="O114" s="216">
        <v>75</v>
      </c>
      <c r="P114" s="216">
        <v>6590</v>
      </c>
      <c r="Q114" s="216">
        <v>28749</v>
      </c>
      <c r="R114" s="216">
        <v>1033</v>
      </c>
      <c r="S114" s="216">
        <v>246</v>
      </c>
      <c r="T114" s="216">
        <v>9838</v>
      </c>
      <c r="U114" s="216">
        <v>419</v>
      </c>
      <c r="V114" s="216">
        <v>3064</v>
      </c>
      <c r="W114" s="216">
        <v>0</v>
      </c>
      <c r="X114" s="216">
        <v>0</v>
      </c>
      <c r="Y114" s="216">
        <v>0</v>
      </c>
      <c r="Z114" s="216">
        <v>0</v>
      </c>
      <c r="AA114" s="216">
        <v>0</v>
      </c>
      <c r="AB114" s="216">
        <v>0</v>
      </c>
      <c r="AC114" s="216">
        <v>0</v>
      </c>
      <c r="AD114" s="216">
        <v>0</v>
      </c>
      <c r="AE114" s="216">
        <v>0</v>
      </c>
      <c r="AF114" s="216">
        <v>16482.862</v>
      </c>
      <c r="AG114" s="216">
        <v>23164.533</v>
      </c>
      <c r="AH114" s="216">
        <v>8341.935</v>
      </c>
      <c r="AI114" s="216">
        <v>0</v>
      </c>
      <c r="AJ114" s="216">
        <v>0</v>
      </c>
      <c r="AK114" s="216">
        <v>0</v>
      </c>
      <c r="AL114" s="216">
        <v>157.387</v>
      </c>
      <c r="AM114" s="216">
        <v>849.676</v>
      </c>
      <c r="AN114" s="216">
        <v>523.004</v>
      </c>
      <c r="AO114" s="216">
        <v>0</v>
      </c>
      <c r="AP114" s="216">
        <v>0</v>
      </c>
      <c r="AQ114" s="216">
        <v>23674</v>
      </c>
      <c r="AR114" s="216"/>
      <c r="AS114" s="205">
        <f t="shared" si="15"/>
        <v>124415.397</v>
      </c>
      <c r="AT114" s="39"/>
      <c r="AU114" s="39"/>
      <c r="AV114" s="39"/>
      <c r="AW114" s="39"/>
      <c r="AX114" s="216"/>
    </row>
    <row r="115" spans="1:50" s="228" customFormat="1" ht="11.25" customHeight="1" collapsed="1">
      <c r="A115" s="229" t="s">
        <v>269</v>
      </c>
      <c r="B115" s="39">
        <f>SUM(B111:B114)</f>
        <v>1039</v>
      </c>
      <c r="C115" s="39">
        <f aca="true" t="shared" si="17" ref="C115:AQ115">SUM(C111:C114)</f>
        <v>0</v>
      </c>
      <c r="D115" s="39">
        <f t="shared" si="17"/>
        <v>169</v>
      </c>
      <c r="E115" s="39">
        <f t="shared" si="17"/>
        <v>0</v>
      </c>
      <c r="F115" s="39">
        <f t="shared" si="17"/>
        <v>0</v>
      </c>
      <c r="G115" s="39">
        <f t="shared" si="17"/>
        <v>0</v>
      </c>
      <c r="H115" s="39">
        <f t="shared" si="17"/>
        <v>0</v>
      </c>
      <c r="I115" s="39">
        <f t="shared" si="17"/>
        <v>0</v>
      </c>
      <c r="J115" s="39">
        <f t="shared" si="17"/>
        <v>0</v>
      </c>
      <c r="K115" s="39">
        <f t="shared" si="17"/>
        <v>0</v>
      </c>
      <c r="L115" s="39">
        <f t="shared" si="17"/>
        <v>0</v>
      </c>
      <c r="M115" s="39">
        <f t="shared" si="17"/>
        <v>-15282</v>
      </c>
      <c r="N115" s="39">
        <f t="shared" si="17"/>
        <v>-67436</v>
      </c>
      <c r="O115" s="39">
        <f t="shared" si="17"/>
        <v>75</v>
      </c>
      <c r="P115" s="39">
        <f t="shared" si="17"/>
        <v>6590</v>
      </c>
      <c r="Q115" s="39">
        <f t="shared" si="17"/>
        <v>28749</v>
      </c>
      <c r="R115" s="39">
        <f t="shared" si="17"/>
        <v>1033</v>
      </c>
      <c r="S115" s="39">
        <f t="shared" si="17"/>
        <v>246</v>
      </c>
      <c r="T115" s="39">
        <f t="shared" si="17"/>
        <v>9838</v>
      </c>
      <c r="U115" s="39">
        <f t="shared" si="17"/>
        <v>419</v>
      </c>
      <c r="V115" s="39">
        <f t="shared" si="17"/>
        <v>3064</v>
      </c>
      <c r="W115" s="39">
        <f t="shared" si="17"/>
        <v>0</v>
      </c>
      <c r="X115" s="39">
        <f t="shared" si="17"/>
        <v>0</v>
      </c>
      <c r="Y115" s="39">
        <f t="shared" si="17"/>
        <v>0</v>
      </c>
      <c r="Z115" s="39">
        <f t="shared" si="17"/>
        <v>0</v>
      </c>
      <c r="AA115" s="39">
        <f t="shared" si="17"/>
        <v>0</v>
      </c>
      <c r="AB115" s="39">
        <f t="shared" si="17"/>
        <v>0</v>
      </c>
      <c r="AC115" s="39">
        <f t="shared" si="17"/>
        <v>0</v>
      </c>
      <c r="AD115" s="39">
        <f t="shared" si="17"/>
        <v>0</v>
      </c>
      <c r="AE115" s="39">
        <f t="shared" si="17"/>
        <v>0</v>
      </c>
      <c r="AF115" s="39">
        <f t="shared" si="17"/>
        <v>16482.862</v>
      </c>
      <c r="AG115" s="39">
        <f t="shared" si="17"/>
        <v>23164.533</v>
      </c>
      <c r="AH115" s="39">
        <f t="shared" si="17"/>
        <v>8341.935</v>
      </c>
      <c r="AI115" s="39">
        <f t="shared" si="17"/>
        <v>0</v>
      </c>
      <c r="AJ115" s="39">
        <f t="shared" si="17"/>
        <v>0</v>
      </c>
      <c r="AK115" s="39">
        <f t="shared" si="17"/>
        <v>0</v>
      </c>
      <c r="AL115" s="39">
        <f t="shared" si="17"/>
        <v>157.387</v>
      </c>
      <c r="AM115" s="39">
        <f t="shared" si="17"/>
        <v>849.676</v>
      </c>
      <c r="AN115" s="39">
        <f t="shared" si="17"/>
        <v>523.004</v>
      </c>
      <c r="AO115" s="39">
        <f t="shared" si="17"/>
        <v>0</v>
      </c>
      <c r="AP115" s="39">
        <f t="shared" si="17"/>
        <v>0</v>
      </c>
      <c r="AQ115" s="39">
        <f t="shared" si="17"/>
        <v>23674</v>
      </c>
      <c r="AR115" s="39"/>
      <c r="AS115" s="205">
        <f t="shared" si="15"/>
        <v>41697.397</v>
      </c>
      <c r="AT115" s="39"/>
      <c r="AU115" s="39"/>
      <c r="AV115" s="39"/>
      <c r="AW115" s="39"/>
      <c r="AX115" s="216"/>
    </row>
    <row r="116" spans="1:50" s="228" customFormat="1" ht="11.25" customHeight="1">
      <c r="A116" s="229"/>
      <c r="B116" s="216"/>
      <c r="C116" s="217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6"/>
      <c r="Q116" s="216"/>
      <c r="R116" s="216"/>
      <c r="S116" s="216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P116" s="218"/>
      <c r="AQ116" s="218"/>
      <c r="AS116" s="205"/>
      <c r="AT116" s="39"/>
      <c r="AU116" s="39"/>
      <c r="AV116" s="39"/>
      <c r="AW116" s="39"/>
      <c r="AX116" s="216"/>
    </row>
    <row r="117" spans="1:50" s="228" customFormat="1" ht="11.25" customHeight="1">
      <c r="A117" s="229" t="s">
        <v>431</v>
      </c>
      <c r="B117" s="216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1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216">
        <v>0</v>
      </c>
      <c r="Q117" s="216">
        <v>0</v>
      </c>
      <c r="R117" s="216">
        <v>0</v>
      </c>
      <c r="S117" s="216">
        <v>0</v>
      </c>
      <c r="T117" s="216">
        <v>0</v>
      </c>
      <c r="U117" s="216">
        <v>0</v>
      </c>
      <c r="V117" s="216">
        <v>0</v>
      </c>
      <c r="W117" s="39">
        <v>0</v>
      </c>
      <c r="X117" s="39">
        <v>0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16740.602</v>
      </c>
      <c r="AG117" s="39">
        <v>0</v>
      </c>
      <c r="AH117" s="39">
        <v>0</v>
      </c>
      <c r="AI117" s="39">
        <v>0</v>
      </c>
      <c r="AJ117" s="39">
        <v>0</v>
      </c>
      <c r="AK117" s="39">
        <v>0</v>
      </c>
      <c r="AL117" s="39">
        <v>0</v>
      </c>
      <c r="AM117" s="39">
        <v>0</v>
      </c>
      <c r="AN117" s="39">
        <v>0</v>
      </c>
      <c r="AO117" s="39">
        <v>0</v>
      </c>
      <c r="AP117" s="39">
        <v>0</v>
      </c>
      <c r="AQ117" s="39">
        <v>0</v>
      </c>
      <c r="AR117" s="39"/>
      <c r="AS117" s="205">
        <f t="shared" si="15"/>
        <v>16741.602</v>
      </c>
      <c r="AT117" s="39"/>
      <c r="AU117" s="39"/>
      <c r="AV117" s="39"/>
      <c r="AW117" s="39"/>
      <c r="AX117" s="216"/>
    </row>
    <row r="118" spans="1:50" s="228" customFormat="1" ht="11.25" customHeight="1">
      <c r="A118" s="229"/>
      <c r="B118" s="216"/>
      <c r="C118" s="217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6"/>
      <c r="Q118" s="216"/>
      <c r="R118" s="216"/>
      <c r="S118" s="216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P118" s="218"/>
      <c r="AQ118" s="218"/>
      <c r="AS118" s="205"/>
      <c r="AT118" s="39"/>
      <c r="AU118" s="39"/>
      <c r="AV118" s="39"/>
      <c r="AW118" s="39"/>
      <c r="AX118" s="216"/>
    </row>
    <row r="119" spans="1:50" s="234" customFormat="1" ht="11.25" customHeight="1">
      <c r="A119" s="288" t="s">
        <v>445</v>
      </c>
      <c r="B119" s="39">
        <f>+B108+B115+B117</f>
        <v>1039</v>
      </c>
      <c r="C119" s="39">
        <f aca="true" t="shared" si="18" ref="C119:AQ119">+C108+C115+C117</f>
        <v>0</v>
      </c>
      <c r="D119" s="39">
        <f t="shared" si="18"/>
        <v>169</v>
      </c>
      <c r="E119" s="39">
        <f t="shared" si="18"/>
        <v>0</v>
      </c>
      <c r="F119" s="39">
        <f t="shared" si="18"/>
        <v>0</v>
      </c>
      <c r="G119" s="39">
        <f t="shared" si="18"/>
        <v>0</v>
      </c>
      <c r="H119" s="39">
        <f t="shared" si="18"/>
        <v>1</v>
      </c>
      <c r="I119" s="39">
        <f t="shared" si="18"/>
        <v>0</v>
      </c>
      <c r="J119" s="39">
        <f t="shared" si="18"/>
        <v>0</v>
      </c>
      <c r="K119" s="39">
        <f t="shared" si="18"/>
        <v>0</v>
      </c>
      <c r="L119" s="39">
        <f t="shared" si="18"/>
        <v>0</v>
      </c>
      <c r="M119" s="39">
        <f t="shared" si="18"/>
        <v>-15282</v>
      </c>
      <c r="N119" s="39">
        <f t="shared" si="18"/>
        <v>-67436</v>
      </c>
      <c r="O119" s="39">
        <f t="shared" si="18"/>
        <v>75</v>
      </c>
      <c r="P119" s="39">
        <f t="shared" si="18"/>
        <v>6590</v>
      </c>
      <c r="Q119" s="39">
        <f t="shared" si="18"/>
        <v>28749</v>
      </c>
      <c r="R119" s="39">
        <f t="shared" si="18"/>
        <v>1033</v>
      </c>
      <c r="S119" s="39">
        <f t="shared" si="18"/>
        <v>246</v>
      </c>
      <c r="T119" s="39">
        <f t="shared" si="18"/>
        <v>9838</v>
      </c>
      <c r="U119" s="39">
        <f t="shared" si="18"/>
        <v>419</v>
      </c>
      <c r="V119" s="39">
        <f t="shared" si="18"/>
        <v>3064</v>
      </c>
      <c r="W119" s="39">
        <f t="shared" si="18"/>
        <v>0</v>
      </c>
      <c r="X119" s="39">
        <f t="shared" si="18"/>
        <v>0</v>
      </c>
      <c r="Y119" s="39">
        <f t="shared" si="18"/>
        <v>0</v>
      </c>
      <c r="Z119" s="39">
        <f t="shared" si="18"/>
        <v>0</v>
      </c>
      <c r="AA119" s="39">
        <f t="shared" si="18"/>
        <v>0</v>
      </c>
      <c r="AB119" s="39">
        <f t="shared" si="18"/>
        <v>0</v>
      </c>
      <c r="AC119" s="39">
        <f t="shared" si="18"/>
        <v>0</v>
      </c>
      <c r="AD119" s="39">
        <f t="shared" si="18"/>
        <v>0</v>
      </c>
      <c r="AE119" s="39">
        <f t="shared" si="18"/>
        <v>0</v>
      </c>
      <c r="AF119" s="39">
        <f t="shared" si="18"/>
        <v>33223.464</v>
      </c>
      <c r="AG119" s="39">
        <f t="shared" si="18"/>
        <v>23164.533</v>
      </c>
      <c r="AH119" s="39">
        <f t="shared" si="18"/>
        <v>8341.935</v>
      </c>
      <c r="AI119" s="39">
        <f t="shared" si="18"/>
        <v>0</v>
      </c>
      <c r="AJ119" s="39">
        <f t="shared" si="18"/>
        <v>0</v>
      </c>
      <c r="AK119" s="39">
        <f t="shared" si="18"/>
        <v>0</v>
      </c>
      <c r="AL119" s="39">
        <f t="shared" si="18"/>
        <v>157.387</v>
      </c>
      <c r="AM119" s="39">
        <f t="shared" si="18"/>
        <v>849.676</v>
      </c>
      <c r="AN119" s="39">
        <f t="shared" si="18"/>
        <v>523.004</v>
      </c>
      <c r="AO119" s="39">
        <f t="shared" si="18"/>
        <v>0</v>
      </c>
      <c r="AP119" s="39">
        <f t="shared" si="18"/>
        <v>0</v>
      </c>
      <c r="AQ119" s="39">
        <f t="shared" si="18"/>
        <v>23674</v>
      </c>
      <c r="AR119" s="207"/>
      <c r="AS119" s="205">
        <f t="shared" si="15"/>
        <v>58438.999</v>
      </c>
      <c r="AT119" s="207"/>
      <c r="AU119" s="207"/>
      <c r="AV119" s="207"/>
      <c r="AW119" s="207"/>
      <c r="AX119" s="233"/>
    </row>
    <row r="120" spans="1:50" s="228" customFormat="1" ht="11.25" customHeight="1">
      <c r="A120" s="236"/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S120" s="205"/>
      <c r="AT120" s="39"/>
      <c r="AU120" s="39"/>
      <c r="AV120" s="39"/>
      <c r="AW120" s="39"/>
      <c r="AX120" s="216"/>
    </row>
    <row r="121" spans="1:50" s="234" customFormat="1" ht="11.25" customHeight="1">
      <c r="A121" s="288" t="s">
        <v>448</v>
      </c>
      <c r="B121" s="207">
        <f>+B104-B119</f>
        <v>1708024</v>
      </c>
      <c r="C121" s="207">
        <f aca="true" t="shared" si="19" ref="C121:AQ121">+C104-C119</f>
        <v>408364</v>
      </c>
      <c r="D121" s="207">
        <f t="shared" si="19"/>
        <v>209349</v>
      </c>
      <c r="E121" s="207">
        <f t="shared" si="19"/>
        <v>1922591</v>
      </c>
      <c r="F121" s="207">
        <f t="shared" si="19"/>
        <v>207384</v>
      </c>
      <c r="G121" s="207">
        <f t="shared" si="19"/>
        <v>436670</v>
      </c>
      <c r="H121" s="207">
        <f t="shared" si="19"/>
        <v>108423</v>
      </c>
      <c r="I121" s="207">
        <f t="shared" si="19"/>
        <v>6312</v>
      </c>
      <c r="J121" s="207">
        <f t="shared" si="19"/>
        <v>15568</v>
      </c>
      <c r="K121" s="207">
        <f t="shared" si="19"/>
        <v>190870.3188064427</v>
      </c>
      <c r="L121" s="207">
        <f t="shared" si="19"/>
        <v>857759.6811935573</v>
      </c>
      <c r="M121" s="207">
        <f t="shared" si="19"/>
        <v>192035</v>
      </c>
      <c r="N121" s="207">
        <f t="shared" si="19"/>
        <v>520648</v>
      </c>
      <c r="O121" s="207">
        <f t="shared" si="19"/>
        <v>130733</v>
      </c>
      <c r="P121" s="207">
        <f t="shared" si="19"/>
        <v>3898257</v>
      </c>
      <c r="Q121" s="207">
        <f t="shared" si="19"/>
        <v>15566919</v>
      </c>
      <c r="R121" s="207">
        <f t="shared" si="19"/>
        <v>1153277</v>
      </c>
      <c r="S121" s="207">
        <f t="shared" si="19"/>
        <v>637905</v>
      </c>
      <c r="T121" s="207">
        <f t="shared" si="19"/>
        <v>18883347</v>
      </c>
      <c r="U121" s="207">
        <f t="shared" si="19"/>
        <v>865396</v>
      </c>
      <c r="V121" s="207">
        <f t="shared" si="19"/>
        <v>2960169</v>
      </c>
      <c r="W121" s="207">
        <f t="shared" si="19"/>
        <v>136130</v>
      </c>
      <c r="X121" s="207">
        <f t="shared" si="19"/>
        <v>245868</v>
      </c>
      <c r="Y121" s="207">
        <f t="shared" si="19"/>
        <v>1038827</v>
      </c>
      <c r="Z121" s="207">
        <f t="shared" si="19"/>
        <v>30231</v>
      </c>
      <c r="AA121" s="207">
        <f t="shared" si="19"/>
        <v>106372</v>
      </c>
      <c r="AB121" s="207">
        <f t="shared" si="19"/>
        <v>556963</v>
      </c>
      <c r="AC121" s="207">
        <f t="shared" si="19"/>
        <v>15965</v>
      </c>
      <c r="AD121" s="207">
        <f t="shared" si="19"/>
        <v>42655</v>
      </c>
      <c r="AE121" s="207">
        <f t="shared" si="19"/>
        <v>39177</v>
      </c>
      <c r="AF121" s="207">
        <f t="shared" si="19"/>
        <v>2503919.3269999996</v>
      </c>
      <c r="AG121" s="207">
        <f t="shared" si="19"/>
        <v>3563894.5630000005</v>
      </c>
      <c r="AH121" s="207">
        <f t="shared" si="19"/>
        <v>959044.1469999999</v>
      </c>
      <c r="AI121" s="207">
        <f t="shared" si="19"/>
        <v>221119</v>
      </c>
      <c r="AJ121" s="207">
        <f t="shared" si="19"/>
        <v>36968</v>
      </c>
      <c r="AK121" s="207">
        <f t="shared" si="19"/>
        <v>24294</v>
      </c>
      <c r="AL121" s="207">
        <f t="shared" si="19"/>
        <v>477091.0040000001</v>
      </c>
      <c r="AM121" s="207">
        <f t="shared" si="19"/>
        <v>2589693.676</v>
      </c>
      <c r="AN121" s="207">
        <f t="shared" si="19"/>
        <v>1601466.6590000002</v>
      </c>
      <c r="AO121" s="207">
        <f t="shared" si="19"/>
        <v>356154.68</v>
      </c>
      <c r="AP121" s="207">
        <f t="shared" si="19"/>
        <v>8103</v>
      </c>
      <c r="AQ121" s="207">
        <f t="shared" si="19"/>
        <v>1454908</v>
      </c>
      <c r="AR121" s="207"/>
      <c r="AS121" s="209">
        <f t="shared" si="15"/>
        <v>66888845.056</v>
      </c>
      <c r="AT121" s="207"/>
      <c r="AV121" s="207"/>
      <c r="AW121" s="207"/>
      <c r="AX121" s="233"/>
    </row>
    <row r="122" spans="16:49" s="228" customFormat="1" ht="11.25" customHeight="1">
      <c r="P122" s="216"/>
      <c r="Q122" s="216"/>
      <c r="R122" s="216"/>
      <c r="S122" s="216"/>
      <c r="AT122" s="39"/>
      <c r="AV122" s="39"/>
      <c r="AW122" s="39"/>
    </row>
    <row r="123" spans="2:47" s="228" customFormat="1" ht="11.25" customHeight="1">
      <c r="B123" s="205"/>
      <c r="C123" s="205"/>
      <c r="D123" s="205"/>
      <c r="E123" s="20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39"/>
      <c r="AU123" s="205"/>
    </row>
    <row r="124" spans="2:47" s="228" customFormat="1" ht="11.25" customHeight="1"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39"/>
      <c r="AU124" s="205"/>
    </row>
    <row r="125" spans="1:19" s="228" customFormat="1" ht="15.75" customHeight="1">
      <c r="A125" s="241" t="s">
        <v>425</v>
      </c>
      <c r="P125" s="216"/>
      <c r="Q125" s="216"/>
      <c r="R125" s="216"/>
      <c r="S125" s="216"/>
    </row>
    <row r="126" spans="1:50" ht="11.25" customHeight="1" hidden="1" outlineLevel="1">
      <c r="A126" s="229" t="s">
        <v>327</v>
      </c>
      <c r="B126" s="210"/>
      <c r="C126" s="210"/>
      <c r="D126" s="210"/>
      <c r="E126" s="39"/>
      <c r="F126" s="210"/>
      <c r="G126" s="210"/>
      <c r="H126" s="210"/>
      <c r="I126" s="210"/>
      <c r="J126" s="210"/>
      <c r="M126" s="210"/>
      <c r="N126" s="210"/>
      <c r="O126" s="210"/>
      <c r="W126" s="210"/>
      <c r="X126" s="210"/>
      <c r="Y126" s="210"/>
      <c r="Z126" s="210"/>
      <c r="AQ126" s="210"/>
      <c r="AR126" s="39"/>
      <c r="AT126" s="39"/>
      <c r="AU126" s="39"/>
      <c r="AV126" s="39"/>
      <c r="AW126" s="39"/>
      <c r="AX126" s="39"/>
    </row>
    <row r="127" spans="1:50" ht="11.25" customHeight="1" hidden="1" outlineLevel="1">
      <c r="A127" s="206" t="s">
        <v>328</v>
      </c>
      <c r="B127" s="215">
        <v>318094.4</v>
      </c>
      <c r="C127" s="215">
        <v>183570.4</v>
      </c>
      <c r="D127" s="215">
        <v>121572</v>
      </c>
      <c r="E127" s="215">
        <v>657845</v>
      </c>
      <c r="F127" s="215">
        <v>40798</v>
      </c>
      <c r="G127" s="215">
        <v>242421</v>
      </c>
      <c r="H127" s="215">
        <v>36037</v>
      </c>
      <c r="I127" s="215">
        <v>1963</v>
      </c>
      <c r="J127" s="215">
        <v>8206</v>
      </c>
      <c r="K127" s="215">
        <v>50714</v>
      </c>
      <c r="L127" s="215">
        <v>388281</v>
      </c>
      <c r="M127" s="215">
        <v>37878</v>
      </c>
      <c r="N127" s="215">
        <v>135946</v>
      </c>
      <c r="O127" s="215">
        <v>48375</v>
      </c>
      <c r="P127" s="39">
        <v>786243</v>
      </c>
      <c r="Q127" s="39">
        <v>602732</v>
      </c>
      <c r="R127" s="39">
        <v>488315</v>
      </c>
      <c r="S127" s="39">
        <v>475421</v>
      </c>
      <c r="T127" s="215">
        <v>456404</v>
      </c>
      <c r="U127" s="215">
        <v>204663</v>
      </c>
      <c r="V127" s="215">
        <v>1267838</v>
      </c>
      <c r="W127" s="215">
        <v>-2689</v>
      </c>
      <c r="X127" s="215">
        <v>135062</v>
      </c>
      <c r="Y127" s="215">
        <v>124504</v>
      </c>
      <c r="Z127" s="215">
        <v>21061</v>
      </c>
      <c r="AA127" s="215">
        <v>37700</v>
      </c>
      <c r="AB127" s="216">
        <v>151844</v>
      </c>
      <c r="AC127" s="216">
        <v>6052</v>
      </c>
      <c r="AD127" s="216">
        <v>15720</v>
      </c>
      <c r="AE127" s="215">
        <v>20397</v>
      </c>
      <c r="AF127" s="216">
        <v>-2755.971</v>
      </c>
      <c r="AG127" s="216">
        <v>489951.91</v>
      </c>
      <c r="AH127" s="216">
        <v>211916.905</v>
      </c>
      <c r="AI127" s="215">
        <v>31227</v>
      </c>
      <c r="AJ127" s="215">
        <v>12916</v>
      </c>
      <c r="AK127" s="215">
        <v>11589</v>
      </c>
      <c r="AL127" s="216">
        <v>21209.219</v>
      </c>
      <c r="AM127" s="216">
        <v>446825.792</v>
      </c>
      <c r="AN127" s="216">
        <v>286859.536</v>
      </c>
      <c r="AO127" s="216">
        <v>288069.74</v>
      </c>
      <c r="AP127" s="215">
        <v>4459</v>
      </c>
      <c r="AQ127" s="215">
        <v>48112</v>
      </c>
      <c r="AR127" s="216"/>
      <c r="AS127" s="205">
        <f aca="true" t="shared" si="20" ref="AS127:AS163">SUM(B127:AQ127)</f>
        <v>8913347.931</v>
      </c>
      <c r="AT127" s="39"/>
      <c r="AU127" s="39"/>
      <c r="AV127" s="39"/>
      <c r="AW127" s="39"/>
      <c r="AX127" s="216"/>
    </row>
    <row r="128" spans="1:50" ht="11.25" customHeight="1" hidden="1" outlineLevel="1">
      <c r="A128" s="206" t="s">
        <v>329</v>
      </c>
      <c r="B128" s="215">
        <v>153599.4</v>
      </c>
      <c r="C128" s="215">
        <v>24227</v>
      </c>
      <c r="D128" s="215">
        <v>13457</v>
      </c>
      <c r="E128" s="215">
        <v>68420</v>
      </c>
      <c r="F128" s="215">
        <v>1917</v>
      </c>
      <c r="G128" s="215">
        <v>5630</v>
      </c>
      <c r="H128" s="215">
        <v>976</v>
      </c>
      <c r="I128" s="215">
        <v>97</v>
      </c>
      <c r="J128" s="215">
        <v>801</v>
      </c>
      <c r="K128" s="215">
        <v>20483</v>
      </c>
      <c r="L128" s="215">
        <v>63021</v>
      </c>
      <c r="M128" s="215">
        <v>0</v>
      </c>
      <c r="N128" s="215">
        <v>0</v>
      </c>
      <c r="O128" s="215">
        <v>43</v>
      </c>
      <c r="P128" s="39">
        <v>30946</v>
      </c>
      <c r="Q128" s="39">
        <v>228615</v>
      </c>
      <c r="R128" s="39">
        <v>12970</v>
      </c>
      <c r="S128" s="39">
        <v>421</v>
      </c>
      <c r="T128" s="215">
        <v>10335</v>
      </c>
      <c r="U128" s="215">
        <v>1164</v>
      </c>
      <c r="V128" s="215">
        <v>214637</v>
      </c>
      <c r="W128" s="215">
        <v>9328</v>
      </c>
      <c r="X128" s="215">
        <v>10714</v>
      </c>
      <c r="Y128" s="215">
        <v>34888</v>
      </c>
      <c r="Z128" s="215">
        <v>54</v>
      </c>
      <c r="AA128" s="215">
        <v>234</v>
      </c>
      <c r="AB128" s="216">
        <v>29368</v>
      </c>
      <c r="AC128" s="216">
        <v>113</v>
      </c>
      <c r="AD128" s="216">
        <v>217</v>
      </c>
      <c r="AE128" s="215">
        <v>0</v>
      </c>
      <c r="AF128" s="216">
        <v>92320.131</v>
      </c>
      <c r="AG128" s="216">
        <v>30755.693</v>
      </c>
      <c r="AH128" s="216">
        <v>5055.295</v>
      </c>
      <c r="AI128" s="215">
        <v>2330</v>
      </c>
      <c r="AJ128" s="215">
        <v>479</v>
      </c>
      <c r="AK128" s="215">
        <v>1720</v>
      </c>
      <c r="AL128" s="216">
        <v>4110.887</v>
      </c>
      <c r="AM128" s="216">
        <v>32559.047</v>
      </c>
      <c r="AN128" s="216">
        <v>28411.1</v>
      </c>
      <c r="AO128" s="216">
        <v>20928.103</v>
      </c>
      <c r="AP128" s="215">
        <v>571</v>
      </c>
      <c r="AQ128" s="215">
        <v>28722</v>
      </c>
      <c r="AR128" s="216"/>
      <c r="AS128" s="205">
        <f t="shared" si="20"/>
        <v>1184637.656</v>
      </c>
      <c r="AT128" s="39"/>
      <c r="AU128" s="39"/>
      <c r="AV128" s="39"/>
      <c r="AW128" s="39"/>
      <c r="AX128" s="216"/>
    </row>
    <row r="129" spans="1:50" ht="11.25" customHeight="1" hidden="1" outlineLevel="1">
      <c r="A129" s="206" t="s">
        <v>330</v>
      </c>
      <c r="B129" s="215">
        <v>0</v>
      </c>
      <c r="C129" s="215">
        <v>0</v>
      </c>
      <c r="D129" s="215">
        <v>0</v>
      </c>
      <c r="E129" s="215">
        <v>0</v>
      </c>
      <c r="F129" s="215">
        <v>0</v>
      </c>
      <c r="G129" s="215">
        <v>0</v>
      </c>
      <c r="H129" s="215">
        <v>0</v>
      </c>
      <c r="I129" s="215">
        <v>0</v>
      </c>
      <c r="J129" s="215">
        <v>0</v>
      </c>
      <c r="K129" s="215">
        <v>0</v>
      </c>
      <c r="L129" s="215">
        <v>0</v>
      </c>
      <c r="M129" s="215">
        <v>0</v>
      </c>
      <c r="N129" s="215">
        <v>0</v>
      </c>
      <c r="O129" s="215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0</v>
      </c>
      <c r="AB129" s="216">
        <v>39905</v>
      </c>
      <c r="AC129" s="216">
        <v>0</v>
      </c>
      <c r="AD129" s="216">
        <v>0</v>
      </c>
      <c r="AE129" s="215">
        <v>0</v>
      </c>
      <c r="AF129" s="216">
        <v>0</v>
      </c>
      <c r="AG129" s="216">
        <v>0</v>
      </c>
      <c r="AH129" s="216">
        <v>0</v>
      </c>
      <c r="AI129" s="215">
        <v>0</v>
      </c>
      <c r="AJ129" s="215">
        <v>0</v>
      </c>
      <c r="AK129" s="215">
        <v>0</v>
      </c>
      <c r="AL129" s="216">
        <v>0</v>
      </c>
      <c r="AM129" s="216">
        <v>3</v>
      </c>
      <c r="AN129" s="216">
        <v>52.836</v>
      </c>
      <c r="AO129" s="216">
        <v>0</v>
      </c>
      <c r="AP129" s="215">
        <v>0</v>
      </c>
      <c r="AQ129" s="215">
        <v>0</v>
      </c>
      <c r="AR129" s="216"/>
      <c r="AS129" s="205">
        <f t="shared" si="20"/>
        <v>39960.836</v>
      </c>
      <c r="AT129" s="39"/>
      <c r="AU129" s="39"/>
      <c r="AV129" s="39"/>
      <c r="AW129" s="39"/>
      <c r="AX129" s="216"/>
    </row>
    <row r="130" spans="1:50" ht="11.25" customHeight="1" hidden="1" outlineLevel="1">
      <c r="A130" s="206" t="s">
        <v>331</v>
      </c>
      <c r="B130" s="215">
        <v>44414</v>
      </c>
      <c r="C130" s="215">
        <v>1026</v>
      </c>
      <c r="D130" s="215">
        <v>0</v>
      </c>
      <c r="E130" s="215">
        <v>49029</v>
      </c>
      <c r="F130" s="215">
        <v>3108.78</v>
      </c>
      <c r="G130" s="215">
        <v>6639</v>
      </c>
      <c r="H130" s="215">
        <v>427</v>
      </c>
      <c r="I130" s="215">
        <v>0</v>
      </c>
      <c r="J130" s="215">
        <v>0</v>
      </c>
      <c r="K130" s="215">
        <v>0</v>
      </c>
      <c r="L130" s="215">
        <v>0</v>
      </c>
      <c r="M130" s="215">
        <v>0</v>
      </c>
      <c r="N130" s="215">
        <v>0</v>
      </c>
      <c r="O130" s="215">
        <v>0</v>
      </c>
      <c r="P130" s="39">
        <v>29678</v>
      </c>
      <c r="Q130" s="39">
        <v>220670</v>
      </c>
      <c r="R130" s="39">
        <v>9681</v>
      </c>
      <c r="S130" s="39">
        <v>0</v>
      </c>
      <c r="T130" s="215">
        <v>762997</v>
      </c>
      <c r="U130" s="215">
        <v>11543</v>
      </c>
      <c r="V130" s="39">
        <v>0</v>
      </c>
      <c r="W130" s="215">
        <v>10262</v>
      </c>
      <c r="X130" s="215">
        <v>27592</v>
      </c>
      <c r="Y130" s="39">
        <v>0</v>
      </c>
      <c r="Z130" s="39">
        <v>0</v>
      </c>
      <c r="AA130" s="39">
        <v>0</v>
      </c>
      <c r="AB130" s="216">
        <v>0</v>
      </c>
      <c r="AC130" s="216">
        <v>0</v>
      </c>
      <c r="AD130" s="216">
        <v>0</v>
      </c>
      <c r="AE130" s="215">
        <v>0</v>
      </c>
      <c r="AF130" s="216">
        <v>4444.373</v>
      </c>
      <c r="AG130" s="216">
        <v>9759.273</v>
      </c>
      <c r="AH130" s="216">
        <v>4378.929</v>
      </c>
      <c r="AI130" s="215">
        <v>2638</v>
      </c>
      <c r="AJ130" s="215">
        <v>0</v>
      </c>
      <c r="AK130" s="215">
        <v>0</v>
      </c>
      <c r="AL130" s="216">
        <v>0</v>
      </c>
      <c r="AM130" s="216">
        <v>0</v>
      </c>
      <c r="AN130" s="216">
        <v>0</v>
      </c>
      <c r="AO130" s="216">
        <v>0</v>
      </c>
      <c r="AP130" s="216">
        <v>0</v>
      </c>
      <c r="AQ130" s="215">
        <v>25922</v>
      </c>
      <c r="AR130" s="216"/>
      <c r="AS130" s="205">
        <f t="shared" si="20"/>
        <v>1224209.355</v>
      </c>
      <c r="AT130" s="39"/>
      <c r="AU130" s="39"/>
      <c r="AV130" s="39"/>
      <c r="AW130" s="39"/>
      <c r="AX130" s="216"/>
    </row>
    <row r="131" spans="1:50" ht="11.25" customHeight="1" hidden="1" outlineLevel="1">
      <c r="A131" s="206" t="s">
        <v>332</v>
      </c>
      <c r="B131" s="215">
        <v>945130</v>
      </c>
      <c r="C131" s="215">
        <v>296784</v>
      </c>
      <c r="D131" s="215">
        <v>0</v>
      </c>
      <c r="E131" s="215">
        <v>79362</v>
      </c>
      <c r="F131" s="215">
        <v>50345</v>
      </c>
      <c r="G131" s="215">
        <v>15391</v>
      </c>
      <c r="H131" s="215">
        <v>78166</v>
      </c>
      <c r="I131" s="215">
        <v>7712</v>
      </c>
      <c r="J131" s="215">
        <v>0</v>
      </c>
      <c r="K131" s="215">
        <v>0</v>
      </c>
      <c r="L131" s="215">
        <v>0</v>
      </c>
      <c r="M131" s="215">
        <v>22267</v>
      </c>
      <c r="N131" s="215">
        <v>110094</v>
      </c>
      <c r="O131" s="215">
        <v>0</v>
      </c>
      <c r="P131" s="39">
        <v>1080634</v>
      </c>
      <c r="Q131" s="39">
        <v>2658293</v>
      </c>
      <c r="R131" s="39">
        <v>273971</v>
      </c>
      <c r="S131" s="39">
        <v>0</v>
      </c>
      <c r="T131" s="215">
        <v>7477494</v>
      </c>
      <c r="U131" s="215">
        <v>764636</v>
      </c>
      <c r="V131" s="39">
        <v>0</v>
      </c>
      <c r="W131" s="215">
        <v>16511</v>
      </c>
      <c r="X131" s="215">
        <v>0</v>
      </c>
      <c r="Y131" s="39">
        <v>0</v>
      </c>
      <c r="Z131" s="215">
        <v>2061</v>
      </c>
      <c r="AA131" s="215">
        <v>5056</v>
      </c>
      <c r="AB131" s="216">
        <v>0</v>
      </c>
      <c r="AC131" s="216">
        <v>1086</v>
      </c>
      <c r="AD131" s="216">
        <v>7139</v>
      </c>
      <c r="AE131" s="215">
        <v>0</v>
      </c>
      <c r="AF131" s="216">
        <v>1409194.934</v>
      </c>
      <c r="AG131" s="216">
        <v>1380574.517</v>
      </c>
      <c r="AH131" s="216">
        <v>414536.223</v>
      </c>
      <c r="AI131" s="215">
        <v>130389</v>
      </c>
      <c r="AJ131" s="215">
        <v>33236</v>
      </c>
      <c r="AK131" s="215">
        <v>0</v>
      </c>
      <c r="AL131" s="216">
        <v>208013.047</v>
      </c>
      <c r="AM131" s="216">
        <v>474453.651</v>
      </c>
      <c r="AN131" s="216">
        <v>352587.417</v>
      </c>
      <c r="AO131" s="216">
        <v>0</v>
      </c>
      <c r="AP131" s="216">
        <v>0</v>
      </c>
      <c r="AQ131" s="215">
        <v>711968</v>
      </c>
      <c r="AR131" s="216"/>
      <c r="AS131" s="205">
        <f t="shared" si="20"/>
        <v>19007084.789</v>
      </c>
      <c r="AT131" s="39"/>
      <c r="AU131" s="39"/>
      <c r="AV131" s="39"/>
      <c r="AW131" s="39"/>
      <c r="AX131" s="216"/>
    </row>
    <row r="132" spans="1:50" ht="11.25" customHeight="1" hidden="1" outlineLevel="1">
      <c r="A132" s="206" t="s">
        <v>333</v>
      </c>
      <c r="B132" s="215">
        <v>0</v>
      </c>
      <c r="C132" s="215">
        <v>0</v>
      </c>
      <c r="D132" s="215">
        <v>0</v>
      </c>
      <c r="E132" s="215">
        <v>48750</v>
      </c>
      <c r="F132" s="215">
        <v>53395</v>
      </c>
      <c r="G132" s="215">
        <v>116974</v>
      </c>
      <c r="H132" s="215">
        <v>0</v>
      </c>
      <c r="I132" s="215">
        <v>0</v>
      </c>
      <c r="J132" s="215">
        <v>0</v>
      </c>
      <c r="K132" s="215">
        <v>0</v>
      </c>
      <c r="L132" s="215">
        <v>0</v>
      </c>
      <c r="M132" s="215">
        <v>20588</v>
      </c>
      <c r="N132" s="215">
        <v>35236</v>
      </c>
      <c r="O132" s="215">
        <v>0</v>
      </c>
      <c r="P132" s="39">
        <v>0</v>
      </c>
      <c r="Q132" s="39">
        <v>0</v>
      </c>
      <c r="R132" s="39">
        <v>0</v>
      </c>
      <c r="S132" s="39">
        <v>0</v>
      </c>
      <c r="T132" s="215">
        <v>5732775</v>
      </c>
      <c r="U132" s="215">
        <v>529363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216">
        <v>0</v>
      </c>
      <c r="AC132" s="216">
        <v>4148</v>
      </c>
      <c r="AD132" s="216">
        <v>11318</v>
      </c>
      <c r="AE132" s="215">
        <v>0</v>
      </c>
      <c r="AF132" s="216">
        <v>119075.295</v>
      </c>
      <c r="AG132" s="216">
        <v>109160.111</v>
      </c>
      <c r="AH132" s="216">
        <v>43806.673</v>
      </c>
      <c r="AI132" s="215">
        <v>4569</v>
      </c>
      <c r="AJ132" s="215">
        <v>0</v>
      </c>
      <c r="AK132" s="215">
        <v>0</v>
      </c>
      <c r="AL132" s="216">
        <v>0</v>
      </c>
      <c r="AM132" s="216">
        <v>0</v>
      </c>
      <c r="AN132" s="216">
        <v>0</v>
      </c>
      <c r="AO132" s="216">
        <v>0</v>
      </c>
      <c r="AP132" s="216">
        <v>0</v>
      </c>
      <c r="AQ132" s="216">
        <v>0</v>
      </c>
      <c r="AR132" s="216"/>
      <c r="AS132" s="205">
        <f t="shared" si="20"/>
        <v>6829158.079</v>
      </c>
      <c r="AT132" s="39"/>
      <c r="AU132" s="39"/>
      <c r="AV132" s="39"/>
      <c r="AW132" s="39"/>
      <c r="AX132" s="216"/>
    </row>
    <row r="133" spans="1:50" ht="11.25" customHeight="1" hidden="1" outlineLevel="1">
      <c r="A133" s="206" t="s">
        <v>334</v>
      </c>
      <c r="B133" s="215">
        <v>0</v>
      </c>
      <c r="C133" s="215">
        <v>0</v>
      </c>
      <c r="D133" s="215">
        <v>0</v>
      </c>
      <c r="E133" s="215">
        <v>0</v>
      </c>
      <c r="F133" s="215">
        <v>0</v>
      </c>
      <c r="G133" s="215">
        <v>0</v>
      </c>
      <c r="H133" s="215">
        <v>0</v>
      </c>
      <c r="I133" s="215">
        <v>0</v>
      </c>
      <c r="J133" s="215">
        <v>0</v>
      </c>
      <c r="K133" s="215">
        <v>0</v>
      </c>
      <c r="L133" s="215">
        <v>0</v>
      </c>
      <c r="M133" s="215">
        <v>0</v>
      </c>
      <c r="N133" s="215">
        <v>0</v>
      </c>
      <c r="O133" s="215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216">
        <v>0</v>
      </c>
      <c r="AC133" s="216">
        <v>0</v>
      </c>
      <c r="AD133" s="216">
        <v>0</v>
      </c>
      <c r="AE133" s="215">
        <v>0</v>
      </c>
      <c r="AF133" s="216">
        <v>0</v>
      </c>
      <c r="AG133" s="216">
        <v>0</v>
      </c>
      <c r="AH133" s="216">
        <v>0</v>
      </c>
      <c r="AI133" s="215">
        <v>0</v>
      </c>
      <c r="AJ133" s="215">
        <v>0</v>
      </c>
      <c r="AK133" s="215">
        <v>0</v>
      </c>
      <c r="AL133" s="216">
        <v>0</v>
      </c>
      <c r="AM133" s="216">
        <v>0</v>
      </c>
      <c r="AN133" s="216">
        <v>0</v>
      </c>
      <c r="AO133" s="216">
        <v>0</v>
      </c>
      <c r="AP133" s="216">
        <v>0</v>
      </c>
      <c r="AQ133" s="216">
        <v>0</v>
      </c>
      <c r="AR133" s="216"/>
      <c r="AS133" s="205">
        <f t="shared" si="20"/>
        <v>0</v>
      </c>
      <c r="AT133" s="39"/>
      <c r="AU133" s="39"/>
      <c r="AV133" s="39"/>
      <c r="AW133" s="39"/>
      <c r="AX133" s="216"/>
    </row>
    <row r="134" spans="1:50" ht="11.25" customHeight="1" hidden="1" outlineLevel="1">
      <c r="A134" s="206" t="s">
        <v>335</v>
      </c>
      <c r="B134" s="215">
        <v>0</v>
      </c>
      <c r="C134" s="215">
        <v>0</v>
      </c>
      <c r="D134" s="215">
        <v>0</v>
      </c>
      <c r="E134" s="215">
        <v>0</v>
      </c>
      <c r="F134" s="215">
        <v>0</v>
      </c>
      <c r="G134" s="215">
        <v>0</v>
      </c>
      <c r="H134" s="215">
        <v>0</v>
      </c>
      <c r="I134" s="215">
        <v>0</v>
      </c>
      <c r="J134" s="215">
        <v>0</v>
      </c>
      <c r="K134" s="215">
        <v>0</v>
      </c>
      <c r="L134" s="215">
        <v>0</v>
      </c>
      <c r="M134" s="215">
        <v>0</v>
      </c>
      <c r="N134" s="215">
        <v>0</v>
      </c>
      <c r="O134" s="215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39">
        <v>0</v>
      </c>
      <c r="AA134" s="39">
        <v>0</v>
      </c>
      <c r="AB134" s="216">
        <v>0</v>
      </c>
      <c r="AC134" s="216">
        <v>0</v>
      </c>
      <c r="AD134" s="216">
        <v>0</v>
      </c>
      <c r="AE134" s="215">
        <v>0</v>
      </c>
      <c r="AF134" s="216">
        <v>0</v>
      </c>
      <c r="AG134" s="216">
        <v>0</v>
      </c>
      <c r="AH134" s="216">
        <v>0</v>
      </c>
      <c r="AI134" s="215">
        <v>0</v>
      </c>
      <c r="AJ134" s="215">
        <v>0</v>
      </c>
      <c r="AK134" s="215">
        <v>0</v>
      </c>
      <c r="AL134" s="216">
        <v>0</v>
      </c>
      <c r="AM134" s="216">
        <v>0</v>
      </c>
      <c r="AN134" s="216">
        <v>0</v>
      </c>
      <c r="AO134" s="216">
        <v>0</v>
      </c>
      <c r="AP134" s="216">
        <v>0</v>
      </c>
      <c r="AQ134" s="215">
        <v>0</v>
      </c>
      <c r="AR134" s="216"/>
      <c r="AS134" s="205">
        <f t="shared" si="20"/>
        <v>0</v>
      </c>
      <c r="AT134" s="39"/>
      <c r="AU134" s="39"/>
      <c r="AV134" s="39"/>
      <c r="AW134" s="39"/>
      <c r="AX134" s="216"/>
    </row>
    <row r="135" spans="1:50" ht="11.25" customHeight="1" hidden="1" outlineLevel="1">
      <c r="A135" s="206" t="s">
        <v>336</v>
      </c>
      <c r="B135" s="215">
        <v>0</v>
      </c>
      <c r="C135" s="215">
        <v>0</v>
      </c>
      <c r="D135" s="215">
        <v>0</v>
      </c>
      <c r="E135" s="215">
        <v>0</v>
      </c>
      <c r="F135" s="215">
        <v>0</v>
      </c>
      <c r="G135" s="215">
        <v>0</v>
      </c>
      <c r="H135" s="215">
        <v>0</v>
      </c>
      <c r="I135" s="215">
        <v>0</v>
      </c>
      <c r="J135" s="215">
        <v>0</v>
      </c>
      <c r="K135" s="215">
        <v>0</v>
      </c>
      <c r="L135" s="215">
        <v>0</v>
      </c>
      <c r="M135" s="215">
        <v>0</v>
      </c>
      <c r="N135" s="215">
        <v>0</v>
      </c>
      <c r="O135" s="215">
        <v>0</v>
      </c>
      <c r="P135" s="39">
        <v>3541</v>
      </c>
      <c r="Q135" s="39">
        <v>8743</v>
      </c>
      <c r="R135" s="39">
        <v>574</v>
      </c>
      <c r="S135" s="39">
        <v>215</v>
      </c>
      <c r="T135" s="215">
        <v>0</v>
      </c>
      <c r="U135" s="215">
        <v>0</v>
      </c>
      <c r="V135" s="39">
        <v>0</v>
      </c>
      <c r="W135" s="39">
        <v>0</v>
      </c>
      <c r="X135" s="39">
        <v>0</v>
      </c>
      <c r="Y135" s="215">
        <v>-129038</v>
      </c>
      <c r="Z135" s="39">
        <v>0</v>
      </c>
      <c r="AA135" s="215">
        <v>3952</v>
      </c>
      <c r="AB135" s="216">
        <v>0</v>
      </c>
      <c r="AC135" s="216">
        <v>0</v>
      </c>
      <c r="AD135" s="216">
        <v>0</v>
      </c>
      <c r="AE135" s="215">
        <v>0</v>
      </c>
      <c r="AF135" s="216">
        <v>0</v>
      </c>
      <c r="AG135" s="216">
        <v>0</v>
      </c>
      <c r="AH135" s="216">
        <v>0</v>
      </c>
      <c r="AI135" s="215">
        <v>0</v>
      </c>
      <c r="AJ135" s="215">
        <v>0</v>
      </c>
      <c r="AK135" s="215">
        <v>0</v>
      </c>
      <c r="AL135" s="216">
        <v>0</v>
      </c>
      <c r="AM135" s="216">
        <v>0</v>
      </c>
      <c r="AN135" s="216">
        <v>0</v>
      </c>
      <c r="AO135" s="216">
        <v>0</v>
      </c>
      <c r="AP135" s="216">
        <v>0</v>
      </c>
      <c r="AQ135" s="215">
        <v>19609</v>
      </c>
      <c r="AR135" s="216"/>
      <c r="AS135" s="205">
        <f t="shared" si="20"/>
        <v>-92404</v>
      </c>
      <c r="AT135" s="39"/>
      <c r="AU135" s="39"/>
      <c r="AV135" s="39"/>
      <c r="AW135" s="39"/>
      <c r="AX135" s="216"/>
    </row>
    <row r="136" spans="1:50" ht="11.25" customHeight="1" collapsed="1">
      <c r="A136" s="229" t="s">
        <v>337</v>
      </c>
      <c r="B136" s="215">
        <f>SUM(B127:B135)</f>
        <v>1461237.8</v>
      </c>
      <c r="C136" s="215">
        <f aca="true" t="shared" si="21" ref="C136:AQ136">SUM(C127:C135)</f>
        <v>505607.4</v>
      </c>
      <c r="D136" s="215">
        <f t="shared" si="21"/>
        <v>135029</v>
      </c>
      <c r="E136" s="215">
        <f t="shared" si="21"/>
        <v>903406</v>
      </c>
      <c r="F136" s="215">
        <f t="shared" si="21"/>
        <v>149563.78</v>
      </c>
      <c r="G136" s="215">
        <f t="shared" si="21"/>
        <v>387055</v>
      </c>
      <c r="H136" s="215">
        <f t="shared" si="21"/>
        <v>115606</v>
      </c>
      <c r="I136" s="215">
        <f t="shared" si="21"/>
        <v>9772</v>
      </c>
      <c r="J136" s="215">
        <f t="shared" si="21"/>
        <v>9007</v>
      </c>
      <c r="K136" s="215">
        <f t="shared" si="21"/>
        <v>71197</v>
      </c>
      <c r="L136" s="215">
        <f t="shared" si="21"/>
        <v>451302</v>
      </c>
      <c r="M136" s="215">
        <f t="shared" si="21"/>
        <v>80733</v>
      </c>
      <c r="N136" s="215">
        <f t="shared" si="21"/>
        <v>281276</v>
      </c>
      <c r="O136" s="215">
        <f t="shared" si="21"/>
        <v>48418</v>
      </c>
      <c r="P136" s="215">
        <f t="shared" si="21"/>
        <v>1931042</v>
      </c>
      <c r="Q136" s="215">
        <f t="shared" si="21"/>
        <v>3719053</v>
      </c>
      <c r="R136" s="215">
        <f t="shared" si="21"/>
        <v>785511</v>
      </c>
      <c r="S136" s="215">
        <f t="shared" si="21"/>
        <v>476057</v>
      </c>
      <c r="T136" s="215">
        <f t="shared" si="21"/>
        <v>14440005</v>
      </c>
      <c r="U136" s="215">
        <f t="shared" si="21"/>
        <v>1511369</v>
      </c>
      <c r="V136" s="215">
        <f t="shared" si="21"/>
        <v>1482475</v>
      </c>
      <c r="W136" s="215">
        <f t="shared" si="21"/>
        <v>33412</v>
      </c>
      <c r="X136" s="215">
        <f t="shared" si="21"/>
        <v>173368</v>
      </c>
      <c r="Y136" s="215">
        <f t="shared" si="21"/>
        <v>30354</v>
      </c>
      <c r="Z136" s="215">
        <f t="shared" si="21"/>
        <v>23176</v>
      </c>
      <c r="AA136" s="215">
        <f t="shared" si="21"/>
        <v>46942</v>
      </c>
      <c r="AB136" s="215">
        <f t="shared" si="21"/>
        <v>221117</v>
      </c>
      <c r="AC136" s="215">
        <f t="shared" si="21"/>
        <v>11399</v>
      </c>
      <c r="AD136" s="215">
        <f t="shared" si="21"/>
        <v>34394</v>
      </c>
      <c r="AE136" s="215">
        <f t="shared" si="21"/>
        <v>20397</v>
      </c>
      <c r="AF136" s="215">
        <f>SUM(AF127:AF135)</f>
        <v>1622278.7619999999</v>
      </c>
      <c r="AG136" s="215">
        <f>SUM(AG127:AG135)</f>
        <v>2020201.5040000002</v>
      </c>
      <c r="AH136" s="215">
        <f>SUM(AH127:AH135)</f>
        <v>679694.0249999999</v>
      </c>
      <c r="AI136" s="215">
        <f t="shared" si="21"/>
        <v>171153</v>
      </c>
      <c r="AJ136" s="215">
        <f t="shared" si="21"/>
        <v>46631</v>
      </c>
      <c r="AK136" s="215">
        <f t="shared" si="21"/>
        <v>13309</v>
      </c>
      <c r="AL136" s="215">
        <f t="shared" si="21"/>
        <v>233333.153</v>
      </c>
      <c r="AM136" s="215">
        <f t="shared" si="21"/>
        <v>953841.49</v>
      </c>
      <c r="AN136" s="215">
        <f t="shared" si="21"/>
        <v>667910.889</v>
      </c>
      <c r="AO136" s="215">
        <f t="shared" si="21"/>
        <v>308997.843</v>
      </c>
      <c r="AP136" s="215">
        <f t="shared" si="21"/>
        <v>5030</v>
      </c>
      <c r="AQ136" s="215">
        <f t="shared" si="21"/>
        <v>834333</v>
      </c>
      <c r="AR136" s="39"/>
      <c r="AS136" s="205">
        <f t="shared" si="20"/>
        <v>37105994.646</v>
      </c>
      <c r="AT136" s="39"/>
      <c r="AU136" s="39"/>
      <c r="AV136" s="39"/>
      <c r="AW136" s="39"/>
      <c r="AX136" s="216"/>
    </row>
    <row r="137" spans="1:50" ht="11.25" customHeight="1">
      <c r="A137" s="206"/>
      <c r="B137" s="215"/>
      <c r="C137" s="215"/>
      <c r="D137" s="215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7"/>
      <c r="Q137" s="217"/>
      <c r="R137" s="217"/>
      <c r="S137" s="217"/>
      <c r="T137" s="218"/>
      <c r="U137" s="218"/>
      <c r="V137" s="218"/>
      <c r="W137" s="218"/>
      <c r="X137" s="218"/>
      <c r="Y137" s="218"/>
      <c r="Z137" s="218"/>
      <c r="AA137" s="218"/>
      <c r="AE137" s="218"/>
      <c r="AI137" s="218"/>
      <c r="AJ137" s="218"/>
      <c r="AK137" s="218"/>
      <c r="AP137" s="218"/>
      <c r="AQ137" s="218"/>
      <c r="AT137" s="39"/>
      <c r="AU137" s="39"/>
      <c r="AV137" s="39"/>
      <c r="AW137" s="39"/>
      <c r="AX137" s="216"/>
    </row>
    <row r="138" spans="1:50" ht="11.25" customHeight="1" hidden="1" outlineLevel="1">
      <c r="A138" s="229" t="s">
        <v>338</v>
      </c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7"/>
      <c r="Q138" s="217"/>
      <c r="R138" s="217"/>
      <c r="S138" s="217"/>
      <c r="T138" s="215"/>
      <c r="U138" s="215"/>
      <c r="V138" s="215"/>
      <c r="W138" s="215"/>
      <c r="X138" s="215"/>
      <c r="Y138" s="215"/>
      <c r="Z138" s="215"/>
      <c r="AA138" s="215"/>
      <c r="AB138" s="216"/>
      <c r="AC138" s="216"/>
      <c r="AD138" s="216"/>
      <c r="AE138" s="215"/>
      <c r="AF138" s="216"/>
      <c r="AG138" s="216"/>
      <c r="AH138" s="216"/>
      <c r="AI138" s="215"/>
      <c r="AJ138" s="215"/>
      <c r="AK138" s="215"/>
      <c r="AL138" s="216"/>
      <c r="AM138" s="216"/>
      <c r="AN138" s="216"/>
      <c r="AO138" s="216"/>
      <c r="AP138" s="215"/>
      <c r="AQ138" s="215"/>
      <c r="AR138" s="216"/>
      <c r="AT138" s="39"/>
      <c r="AU138" s="39"/>
      <c r="AV138" s="39"/>
      <c r="AW138" s="39"/>
      <c r="AX138" s="216"/>
    </row>
    <row r="139" spans="1:50" ht="11.25" customHeight="1" hidden="1" outlineLevel="1">
      <c r="A139" s="206" t="s">
        <v>280</v>
      </c>
      <c r="B139" s="215">
        <v>9582</v>
      </c>
      <c r="C139" s="215">
        <v>2456</v>
      </c>
      <c r="D139" s="215">
        <v>4611</v>
      </c>
      <c r="E139" s="215">
        <v>16804</v>
      </c>
      <c r="F139" s="215">
        <v>1396.7</v>
      </c>
      <c r="G139" s="215">
        <v>2364.69</v>
      </c>
      <c r="H139" s="215">
        <v>622</v>
      </c>
      <c r="I139" s="215">
        <v>7</v>
      </c>
      <c r="J139" s="215">
        <v>0</v>
      </c>
      <c r="K139" s="215">
        <v>573</v>
      </c>
      <c r="L139" s="215">
        <v>8169</v>
      </c>
      <c r="M139" s="215">
        <v>5162</v>
      </c>
      <c r="N139" s="215">
        <v>1104</v>
      </c>
      <c r="O139" s="215">
        <v>758</v>
      </c>
      <c r="P139" s="215">
        <v>4738</v>
      </c>
      <c r="Q139" s="215">
        <v>89671</v>
      </c>
      <c r="R139" s="215">
        <v>50829</v>
      </c>
      <c r="S139" s="215">
        <v>25550</v>
      </c>
      <c r="T139" s="215">
        <v>156622</v>
      </c>
      <c r="U139" s="215">
        <v>11904</v>
      </c>
      <c r="V139" s="215">
        <v>123386</v>
      </c>
      <c r="W139" s="215">
        <v>0</v>
      </c>
      <c r="X139" s="215">
        <v>0</v>
      </c>
      <c r="Y139" s="215">
        <v>23705</v>
      </c>
      <c r="Z139" s="215">
        <v>0</v>
      </c>
      <c r="AA139" s="215">
        <v>1889</v>
      </c>
      <c r="AB139" s="216">
        <v>2004</v>
      </c>
      <c r="AC139" s="216">
        <v>0</v>
      </c>
      <c r="AD139" s="216">
        <v>0</v>
      </c>
      <c r="AE139" s="215">
        <v>0</v>
      </c>
      <c r="AF139" s="216">
        <v>4393.854</v>
      </c>
      <c r="AG139" s="216">
        <v>16059.762</v>
      </c>
      <c r="AH139" s="216">
        <v>65915.121</v>
      </c>
      <c r="AI139" s="215">
        <v>3686</v>
      </c>
      <c r="AJ139" s="215">
        <v>324</v>
      </c>
      <c r="AK139" s="215">
        <v>955</v>
      </c>
      <c r="AL139" s="216">
        <v>23021.711</v>
      </c>
      <c r="AM139" s="216">
        <v>4112.394</v>
      </c>
      <c r="AN139" s="216">
        <v>634.098</v>
      </c>
      <c r="AO139" s="216">
        <v>13386.504</v>
      </c>
      <c r="AP139" s="215">
        <v>0</v>
      </c>
      <c r="AQ139" s="215">
        <v>32995</v>
      </c>
      <c r="AR139" s="216"/>
      <c r="AS139" s="205">
        <f t="shared" si="20"/>
        <v>709390.834</v>
      </c>
      <c r="AT139" s="39"/>
      <c r="AU139" s="39"/>
      <c r="AV139" s="39"/>
      <c r="AW139" s="39"/>
      <c r="AX139" s="216"/>
    </row>
    <row r="140" spans="1:50" ht="11.25" customHeight="1" hidden="1" outlineLevel="1">
      <c r="A140" s="206" t="s">
        <v>339</v>
      </c>
      <c r="B140" s="215">
        <v>919</v>
      </c>
      <c r="C140" s="215">
        <v>166</v>
      </c>
      <c r="D140" s="215">
        <v>22</v>
      </c>
      <c r="E140" s="215">
        <v>627</v>
      </c>
      <c r="F140" s="215">
        <v>70.9</v>
      </c>
      <c r="G140" s="215">
        <v>230.4</v>
      </c>
      <c r="H140" s="215">
        <v>132</v>
      </c>
      <c r="I140" s="215">
        <v>7</v>
      </c>
      <c r="J140" s="215">
        <v>0</v>
      </c>
      <c r="K140" s="215">
        <v>300</v>
      </c>
      <c r="L140" s="215">
        <v>1350</v>
      </c>
      <c r="M140" s="215">
        <v>240</v>
      </c>
      <c r="N140" s="215">
        <v>615</v>
      </c>
      <c r="O140" s="215">
        <v>0</v>
      </c>
      <c r="P140" s="39">
        <v>26</v>
      </c>
      <c r="Q140" s="39">
        <v>132</v>
      </c>
      <c r="R140" s="39">
        <v>6</v>
      </c>
      <c r="S140" s="39">
        <v>0</v>
      </c>
      <c r="T140" s="215">
        <v>51843</v>
      </c>
      <c r="U140" s="215">
        <v>2201</v>
      </c>
      <c r="V140" s="215">
        <v>0</v>
      </c>
      <c r="W140" s="215">
        <v>161</v>
      </c>
      <c r="X140" s="215">
        <v>286</v>
      </c>
      <c r="Y140" s="215">
        <v>1959</v>
      </c>
      <c r="Z140" s="215">
        <v>27</v>
      </c>
      <c r="AA140" s="215">
        <v>109</v>
      </c>
      <c r="AB140" s="39">
        <v>1331</v>
      </c>
      <c r="AC140" s="216">
        <v>97</v>
      </c>
      <c r="AD140" s="216">
        <v>222</v>
      </c>
      <c r="AE140" s="215">
        <v>0</v>
      </c>
      <c r="AF140" s="216">
        <v>5066.715</v>
      </c>
      <c r="AG140" s="216">
        <v>7689.848</v>
      </c>
      <c r="AH140" s="216">
        <v>2105.103</v>
      </c>
      <c r="AI140" s="215">
        <v>49</v>
      </c>
      <c r="AJ140" s="215">
        <v>17</v>
      </c>
      <c r="AK140" s="215">
        <v>0</v>
      </c>
      <c r="AL140" s="216">
        <v>1418.482</v>
      </c>
      <c r="AM140" s="216">
        <v>6430.142</v>
      </c>
      <c r="AN140" s="216">
        <v>3837.024</v>
      </c>
      <c r="AO140" s="216">
        <v>0</v>
      </c>
      <c r="AP140" s="215">
        <v>48</v>
      </c>
      <c r="AQ140" s="215">
        <v>119</v>
      </c>
      <c r="AR140" s="216"/>
      <c r="AS140" s="205">
        <f t="shared" si="20"/>
        <v>89859.614</v>
      </c>
      <c r="AT140" s="39"/>
      <c r="AU140" s="39"/>
      <c r="AV140" s="39"/>
      <c r="AW140" s="39"/>
      <c r="AX140" s="216"/>
    </row>
    <row r="141" spans="1:50" ht="11.25" customHeight="1" hidden="1" outlineLevel="1">
      <c r="A141" s="206" t="s">
        <v>340</v>
      </c>
      <c r="B141" s="215">
        <v>0</v>
      </c>
      <c r="C141" s="215">
        <v>403</v>
      </c>
      <c r="D141" s="215">
        <v>237</v>
      </c>
      <c r="E141" s="215">
        <v>638</v>
      </c>
      <c r="F141" s="215">
        <v>1397.54</v>
      </c>
      <c r="G141" s="215">
        <v>2260.7</v>
      </c>
      <c r="H141" s="215">
        <v>0</v>
      </c>
      <c r="I141" s="215">
        <v>0</v>
      </c>
      <c r="J141" s="215">
        <v>0</v>
      </c>
      <c r="K141" s="215">
        <v>300</v>
      </c>
      <c r="L141" s="215">
        <v>1350</v>
      </c>
      <c r="M141" s="215">
        <v>487</v>
      </c>
      <c r="N141" s="215">
        <v>1248</v>
      </c>
      <c r="O141" s="215">
        <v>5</v>
      </c>
      <c r="P141" s="39">
        <v>8942</v>
      </c>
      <c r="Q141" s="39">
        <v>37667</v>
      </c>
      <c r="R141" s="39">
        <v>2309</v>
      </c>
      <c r="S141" s="39">
        <v>0</v>
      </c>
      <c r="T141" s="215">
        <v>28486</v>
      </c>
      <c r="U141" s="215">
        <v>1106</v>
      </c>
      <c r="V141" s="215">
        <v>1194</v>
      </c>
      <c r="W141" s="215">
        <v>171</v>
      </c>
      <c r="X141" s="215">
        <v>304</v>
      </c>
      <c r="Y141" s="215">
        <v>4690</v>
      </c>
      <c r="Z141" s="215">
        <v>0</v>
      </c>
      <c r="AA141" s="215">
        <v>213</v>
      </c>
      <c r="AB141" s="216">
        <v>0</v>
      </c>
      <c r="AC141" s="216">
        <v>32</v>
      </c>
      <c r="AD141" s="216">
        <v>74</v>
      </c>
      <c r="AE141" s="215">
        <v>225</v>
      </c>
      <c r="AF141" s="216">
        <v>5471.402</v>
      </c>
      <c r="AG141" s="216">
        <v>9979.135</v>
      </c>
      <c r="AH141" s="216">
        <v>2857.638</v>
      </c>
      <c r="AI141" s="215">
        <v>0</v>
      </c>
      <c r="AJ141" s="215">
        <v>0</v>
      </c>
      <c r="AK141" s="215">
        <v>0</v>
      </c>
      <c r="AL141" s="216">
        <v>1105.644</v>
      </c>
      <c r="AM141" s="216">
        <v>5071.536</v>
      </c>
      <c r="AN141" s="216">
        <v>3035.983</v>
      </c>
      <c r="AO141" s="216">
        <v>0</v>
      </c>
      <c r="AP141" s="216">
        <v>0</v>
      </c>
      <c r="AQ141" s="215">
        <v>2295</v>
      </c>
      <c r="AR141" s="216"/>
      <c r="AS141" s="205">
        <f t="shared" si="20"/>
        <v>123555.57800000001</v>
      </c>
      <c r="AT141" s="39"/>
      <c r="AU141" s="39"/>
      <c r="AV141" s="39"/>
      <c r="AW141" s="39"/>
      <c r="AX141" s="216"/>
    </row>
    <row r="142" spans="1:50" ht="11.25" customHeight="1" hidden="1" outlineLevel="1">
      <c r="A142" s="206" t="s">
        <v>341</v>
      </c>
      <c r="B142" s="215">
        <v>2176</v>
      </c>
      <c r="C142" s="215">
        <v>0</v>
      </c>
      <c r="D142" s="215">
        <v>0</v>
      </c>
      <c r="E142" s="215">
        <v>0</v>
      </c>
      <c r="F142" s="215">
        <v>0</v>
      </c>
      <c r="G142" s="215">
        <v>0</v>
      </c>
      <c r="H142" s="215">
        <v>0</v>
      </c>
      <c r="I142" s="215">
        <v>0</v>
      </c>
      <c r="J142" s="215">
        <v>0</v>
      </c>
      <c r="K142" s="215">
        <v>0</v>
      </c>
      <c r="L142" s="215">
        <v>0</v>
      </c>
      <c r="M142" s="215">
        <v>0</v>
      </c>
      <c r="N142" s="215">
        <v>0</v>
      </c>
      <c r="O142" s="215">
        <v>0</v>
      </c>
      <c r="P142" s="217">
        <v>0</v>
      </c>
      <c r="Q142" s="217">
        <v>0</v>
      </c>
      <c r="R142" s="217">
        <v>0</v>
      </c>
      <c r="S142" s="217">
        <v>0</v>
      </c>
      <c r="T142" s="217">
        <v>0</v>
      </c>
      <c r="U142" s="217">
        <v>0</v>
      </c>
      <c r="V142" s="217">
        <v>0</v>
      </c>
      <c r="W142" s="217">
        <v>0</v>
      </c>
      <c r="X142" s="217">
        <v>0</v>
      </c>
      <c r="Y142" s="215">
        <v>0</v>
      </c>
      <c r="Z142" s="215">
        <v>0</v>
      </c>
      <c r="AA142" s="215">
        <v>0</v>
      </c>
      <c r="AB142" s="215">
        <v>0</v>
      </c>
      <c r="AC142" s="215">
        <v>0</v>
      </c>
      <c r="AD142" s="215">
        <v>0</v>
      </c>
      <c r="AE142" s="215">
        <v>0</v>
      </c>
      <c r="AF142" s="216">
        <v>0</v>
      </c>
      <c r="AG142" s="216">
        <v>0</v>
      </c>
      <c r="AH142" s="216">
        <v>0</v>
      </c>
      <c r="AI142" s="215">
        <v>0</v>
      </c>
      <c r="AJ142" s="215">
        <v>0</v>
      </c>
      <c r="AK142" s="215">
        <v>0</v>
      </c>
      <c r="AL142" s="216">
        <v>0</v>
      </c>
      <c r="AM142" s="216">
        <v>0</v>
      </c>
      <c r="AN142" s="216">
        <v>0</v>
      </c>
      <c r="AO142" s="216">
        <v>0</v>
      </c>
      <c r="AP142" s="216">
        <v>0</v>
      </c>
      <c r="AQ142" s="216">
        <v>0</v>
      </c>
      <c r="AR142" s="216"/>
      <c r="AS142" s="205">
        <f t="shared" si="20"/>
        <v>2176</v>
      </c>
      <c r="AT142" s="39"/>
      <c r="AU142" s="39"/>
      <c r="AV142" s="39"/>
      <c r="AW142" s="39"/>
      <c r="AX142" s="216"/>
    </row>
    <row r="143" spans="1:50" ht="11.25" customHeight="1" hidden="1" outlineLevel="1">
      <c r="A143" s="206" t="s">
        <v>342</v>
      </c>
      <c r="B143" s="215">
        <v>0</v>
      </c>
      <c r="C143" s="215">
        <v>0</v>
      </c>
      <c r="D143" s="215">
        <v>0</v>
      </c>
      <c r="E143" s="215">
        <v>0</v>
      </c>
      <c r="F143" s="215">
        <v>3929.957</v>
      </c>
      <c r="G143" s="215">
        <v>9975.012</v>
      </c>
      <c r="H143" s="215">
        <v>0</v>
      </c>
      <c r="I143" s="215">
        <v>0</v>
      </c>
      <c r="J143" s="215">
        <v>0</v>
      </c>
      <c r="K143" s="215">
        <v>63960</v>
      </c>
      <c r="L143" s="215">
        <v>413181</v>
      </c>
      <c r="M143" s="215">
        <v>5522</v>
      </c>
      <c r="N143" s="215">
        <v>51773</v>
      </c>
      <c r="O143" s="215">
        <v>0</v>
      </c>
      <c r="P143" s="39">
        <v>0</v>
      </c>
      <c r="Q143" s="39">
        <v>0</v>
      </c>
      <c r="R143" s="39">
        <v>0</v>
      </c>
      <c r="S143" s="39">
        <v>0</v>
      </c>
      <c r="T143" s="215">
        <v>3795</v>
      </c>
      <c r="U143" s="215">
        <v>-124</v>
      </c>
      <c r="V143" s="215">
        <v>-2780</v>
      </c>
      <c r="W143" s="215">
        <v>0</v>
      </c>
      <c r="X143" s="215">
        <v>0</v>
      </c>
      <c r="Y143" s="215">
        <v>0</v>
      </c>
      <c r="Z143" s="215">
        <v>0</v>
      </c>
      <c r="AA143" s="215">
        <v>0</v>
      </c>
      <c r="AB143" s="216">
        <v>53744</v>
      </c>
      <c r="AC143" s="215">
        <v>0</v>
      </c>
      <c r="AD143" s="215">
        <v>0</v>
      </c>
      <c r="AE143" s="215">
        <v>562</v>
      </c>
      <c r="AF143" s="216">
        <v>0</v>
      </c>
      <c r="AG143" s="216">
        <v>0</v>
      </c>
      <c r="AH143" s="216">
        <v>0</v>
      </c>
      <c r="AI143" s="215">
        <v>0</v>
      </c>
      <c r="AJ143" s="215">
        <v>0</v>
      </c>
      <c r="AK143" s="215">
        <v>0</v>
      </c>
      <c r="AL143" s="216">
        <v>-104.229</v>
      </c>
      <c r="AM143" s="216">
        <v>1134.6</v>
      </c>
      <c r="AN143" s="216">
        <v>825.869</v>
      </c>
      <c r="AO143" s="216">
        <v>337.005</v>
      </c>
      <c r="AP143" s="216">
        <v>0</v>
      </c>
      <c r="AQ143" s="216">
        <v>0</v>
      </c>
      <c r="AR143" s="216"/>
      <c r="AS143" s="205">
        <f t="shared" si="20"/>
        <v>605731.2139999999</v>
      </c>
      <c r="AT143" s="39"/>
      <c r="AU143" s="39"/>
      <c r="AV143" s="39"/>
      <c r="AW143" s="39"/>
      <c r="AX143" s="216"/>
    </row>
    <row r="144" spans="1:50" ht="11.25" customHeight="1" collapsed="1">
      <c r="A144" s="229" t="s">
        <v>343</v>
      </c>
      <c r="B144" s="215">
        <f>SUM(B139:B143)</f>
        <v>12677</v>
      </c>
      <c r="C144" s="215">
        <f aca="true" t="shared" si="22" ref="C144:AQ144">SUM(C139:C143)</f>
        <v>3025</v>
      </c>
      <c r="D144" s="215">
        <f t="shared" si="22"/>
        <v>4870</v>
      </c>
      <c r="E144" s="215">
        <f t="shared" si="22"/>
        <v>18069</v>
      </c>
      <c r="F144" s="215">
        <f t="shared" si="22"/>
        <v>6795.097</v>
      </c>
      <c r="G144" s="215">
        <f t="shared" si="22"/>
        <v>14830.802</v>
      </c>
      <c r="H144" s="215">
        <f t="shared" si="22"/>
        <v>754</v>
      </c>
      <c r="I144" s="215">
        <f t="shared" si="22"/>
        <v>14</v>
      </c>
      <c r="J144" s="215">
        <f t="shared" si="22"/>
        <v>0</v>
      </c>
      <c r="K144" s="215">
        <f t="shared" si="22"/>
        <v>65133</v>
      </c>
      <c r="L144" s="215">
        <f t="shared" si="22"/>
        <v>424050</v>
      </c>
      <c r="M144" s="215">
        <f t="shared" si="22"/>
        <v>11411</v>
      </c>
      <c r="N144" s="215">
        <f t="shared" si="22"/>
        <v>54740</v>
      </c>
      <c r="O144" s="215">
        <f t="shared" si="22"/>
        <v>763</v>
      </c>
      <c r="P144" s="215">
        <f t="shared" si="22"/>
        <v>13706</v>
      </c>
      <c r="Q144" s="215">
        <f t="shared" si="22"/>
        <v>127470</v>
      </c>
      <c r="R144" s="215">
        <f t="shared" si="22"/>
        <v>53144</v>
      </c>
      <c r="S144" s="215">
        <f t="shared" si="22"/>
        <v>25550</v>
      </c>
      <c r="T144" s="215">
        <f t="shared" si="22"/>
        <v>240746</v>
      </c>
      <c r="U144" s="215">
        <f t="shared" si="22"/>
        <v>15087</v>
      </c>
      <c r="V144" s="215">
        <f t="shared" si="22"/>
        <v>121800</v>
      </c>
      <c r="W144" s="215">
        <f t="shared" si="22"/>
        <v>332</v>
      </c>
      <c r="X144" s="215">
        <f t="shared" si="22"/>
        <v>590</v>
      </c>
      <c r="Y144" s="215">
        <f t="shared" si="22"/>
        <v>30354</v>
      </c>
      <c r="Z144" s="215">
        <f t="shared" si="22"/>
        <v>27</v>
      </c>
      <c r="AA144" s="215">
        <f t="shared" si="22"/>
        <v>2211</v>
      </c>
      <c r="AB144" s="215">
        <f t="shared" si="22"/>
        <v>57079</v>
      </c>
      <c r="AC144" s="215">
        <f t="shared" si="22"/>
        <v>129</v>
      </c>
      <c r="AD144" s="215">
        <f t="shared" si="22"/>
        <v>296</v>
      </c>
      <c r="AE144" s="215">
        <f t="shared" si="22"/>
        <v>787</v>
      </c>
      <c r="AF144" s="215">
        <f>SUM(AF139:AF143)</f>
        <v>14931.971</v>
      </c>
      <c r="AG144" s="215">
        <f>SUM(AG139:AG143)</f>
        <v>33728.745</v>
      </c>
      <c r="AH144" s="215">
        <f>SUM(AH139:AH143)</f>
        <v>70877.86200000001</v>
      </c>
      <c r="AI144" s="215">
        <f t="shared" si="22"/>
        <v>3735</v>
      </c>
      <c r="AJ144" s="215">
        <f t="shared" si="22"/>
        <v>341</v>
      </c>
      <c r="AK144" s="215">
        <f t="shared" si="22"/>
        <v>955</v>
      </c>
      <c r="AL144" s="215">
        <f t="shared" si="22"/>
        <v>25441.608</v>
      </c>
      <c r="AM144" s="215">
        <f t="shared" si="22"/>
        <v>16748.672</v>
      </c>
      <c r="AN144" s="215">
        <f t="shared" si="22"/>
        <v>8332.974</v>
      </c>
      <c r="AO144" s="215">
        <f t="shared" si="22"/>
        <v>13723.509</v>
      </c>
      <c r="AP144" s="215">
        <f t="shared" si="22"/>
        <v>48</v>
      </c>
      <c r="AQ144" s="215">
        <f t="shared" si="22"/>
        <v>35409</v>
      </c>
      <c r="AR144" s="39"/>
      <c r="AS144" s="205">
        <f t="shared" si="20"/>
        <v>1530713.24</v>
      </c>
      <c r="AT144" s="39"/>
      <c r="AU144" s="39"/>
      <c r="AV144" s="39"/>
      <c r="AW144" s="39"/>
      <c r="AX144" s="216"/>
    </row>
    <row r="145" spans="1:50" ht="11.25" customHeight="1">
      <c r="A145" s="39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T145" s="39"/>
      <c r="AU145" s="39"/>
      <c r="AV145" s="39"/>
      <c r="AW145" s="39"/>
      <c r="AX145" s="216"/>
    </row>
    <row r="146" spans="1:50" ht="11.25" customHeight="1">
      <c r="A146" s="229" t="s">
        <v>344</v>
      </c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T146" s="39"/>
      <c r="AU146" s="39"/>
      <c r="AV146" s="39"/>
      <c r="AW146" s="39"/>
      <c r="AX146" s="216"/>
    </row>
    <row r="147" spans="1:50" ht="11.25" customHeight="1">
      <c r="A147" s="229" t="s">
        <v>345</v>
      </c>
      <c r="B147" s="215">
        <f>+B136-B144</f>
        <v>1448560.8</v>
      </c>
      <c r="C147" s="215">
        <f aca="true" t="shared" si="23" ref="C147:AQ147">+C136-C144</f>
        <v>502582.4</v>
      </c>
      <c r="D147" s="215">
        <f t="shared" si="23"/>
        <v>130159</v>
      </c>
      <c r="E147" s="215">
        <f t="shared" si="23"/>
        <v>885337</v>
      </c>
      <c r="F147" s="215">
        <f t="shared" si="23"/>
        <v>142768.683</v>
      </c>
      <c r="G147" s="215">
        <f t="shared" si="23"/>
        <v>372224.198</v>
      </c>
      <c r="H147" s="215">
        <f t="shared" si="23"/>
        <v>114852</v>
      </c>
      <c r="I147" s="215">
        <f t="shared" si="23"/>
        <v>9758</v>
      </c>
      <c r="J147" s="215">
        <f t="shared" si="23"/>
        <v>9007</v>
      </c>
      <c r="K147" s="215">
        <f t="shared" si="23"/>
        <v>6064</v>
      </c>
      <c r="L147" s="215">
        <f t="shared" si="23"/>
        <v>27252</v>
      </c>
      <c r="M147" s="215">
        <f t="shared" si="23"/>
        <v>69322</v>
      </c>
      <c r="N147" s="215">
        <f t="shared" si="23"/>
        <v>226536</v>
      </c>
      <c r="O147" s="215">
        <f t="shared" si="23"/>
        <v>47655</v>
      </c>
      <c r="P147" s="215">
        <f t="shared" si="23"/>
        <v>1917336</v>
      </c>
      <c r="Q147" s="215">
        <f t="shared" si="23"/>
        <v>3591583</v>
      </c>
      <c r="R147" s="215">
        <f t="shared" si="23"/>
        <v>732367</v>
      </c>
      <c r="S147" s="215">
        <f t="shared" si="23"/>
        <v>450507</v>
      </c>
      <c r="T147" s="215">
        <f t="shared" si="23"/>
        <v>14199259</v>
      </c>
      <c r="U147" s="215">
        <f t="shared" si="23"/>
        <v>1496282</v>
      </c>
      <c r="V147" s="215">
        <f t="shared" si="23"/>
        <v>1360675</v>
      </c>
      <c r="W147" s="215">
        <f t="shared" si="23"/>
        <v>33080</v>
      </c>
      <c r="X147" s="215">
        <f t="shared" si="23"/>
        <v>172778</v>
      </c>
      <c r="Y147" s="215">
        <f t="shared" si="23"/>
        <v>0</v>
      </c>
      <c r="Z147" s="215">
        <f t="shared" si="23"/>
        <v>23149</v>
      </c>
      <c r="AA147" s="215">
        <f t="shared" si="23"/>
        <v>44731</v>
      </c>
      <c r="AB147" s="215">
        <f t="shared" si="23"/>
        <v>164038</v>
      </c>
      <c r="AC147" s="215">
        <f t="shared" si="23"/>
        <v>11270</v>
      </c>
      <c r="AD147" s="215">
        <f t="shared" si="23"/>
        <v>34098</v>
      </c>
      <c r="AE147" s="215">
        <f t="shared" si="23"/>
        <v>19610</v>
      </c>
      <c r="AF147" s="215">
        <f t="shared" si="23"/>
        <v>1607346.791</v>
      </c>
      <c r="AG147" s="215">
        <f t="shared" si="23"/>
        <v>1986472.759</v>
      </c>
      <c r="AH147" s="215">
        <f t="shared" si="23"/>
        <v>608816.163</v>
      </c>
      <c r="AI147" s="215">
        <f t="shared" si="23"/>
        <v>167418</v>
      </c>
      <c r="AJ147" s="215">
        <f t="shared" si="23"/>
        <v>46290</v>
      </c>
      <c r="AK147" s="215">
        <f t="shared" si="23"/>
        <v>12354</v>
      </c>
      <c r="AL147" s="215">
        <f t="shared" si="23"/>
        <v>207891.54499999998</v>
      </c>
      <c r="AM147" s="215">
        <f t="shared" si="23"/>
        <v>937092.818</v>
      </c>
      <c r="AN147" s="215">
        <f t="shared" si="23"/>
        <v>659577.9149999999</v>
      </c>
      <c r="AO147" s="215">
        <f t="shared" si="23"/>
        <v>295274.334</v>
      </c>
      <c r="AP147" s="215">
        <f t="shared" si="23"/>
        <v>4982</v>
      </c>
      <c r="AQ147" s="215">
        <f t="shared" si="23"/>
        <v>798924</v>
      </c>
      <c r="AR147" s="39"/>
      <c r="AS147" s="205">
        <f t="shared" si="20"/>
        <v>35575281.406</v>
      </c>
      <c r="AT147" s="39"/>
      <c r="AU147" s="39"/>
      <c r="AV147" s="39"/>
      <c r="AW147" s="39"/>
      <c r="AX147" s="216"/>
    </row>
    <row r="148" spans="1:50" ht="11.25" customHeight="1">
      <c r="A148" s="229"/>
      <c r="B148" s="215"/>
      <c r="C148" s="215"/>
      <c r="D148" s="215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7"/>
      <c r="Q148" s="217"/>
      <c r="R148" s="217"/>
      <c r="S148" s="217"/>
      <c r="T148" s="218"/>
      <c r="U148" s="218"/>
      <c r="V148" s="218"/>
      <c r="W148" s="218"/>
      <c r="X148" s="218"/>
      <c r="Y148" s="218"/>
      <c r="Z148" s="218"/>
      <c r="AA148" s="218"/>
      <c r="AE148" s="218"/>
      <c r="AI148" s="218"/>
      <c r="AJ148" s="218"/>
      <c r="AK148" s="218"/>
      <c r="AP148" s="218"/>
      <c r="AQ148" s="218"/>
      <c r="AT148" s="39"/>
      <c r="AU148" s="39"/>
      <c r="AV148" s="39"/>
      <c r="AW148" s="39"/>
      <c r="AX148" s="216"/>
    </row>
    <row r="149" spans="1:50" ht="11.25" customHeight="1" hidden="1" outlineLevel="1">
      <c r="A149" s="229" t="s">
        <v>346</v>
      </c>
      <c r="B149" s="215"/>
      <c r="C149" s="215"/>
      <c r="D149" s="215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7"/>
      <c r="Q149" s="217"/>
      <c r="R149" s="217"/>
      <c r="S149" s="217"/>
      <c r="T149" s="218"/>
      <c r="U149" s="218"/>
      <c r="V149" s="218"/>
      <c r="W149" s="218"/>
      <c r="X149" s="218"/>
      <c r="Y149" s="218"/>
      <c r="Z149" s="218"/>
      <c r="AA149" s="218"/>
      <c r="AE149" s="218"/>
      <c r="AI149" s="218"/>
      <c r="AJ149" s="218"/>
      <c r="AK149" s="218"/>
      <c r="AP149" s="218"/>
      <c r="AQ149" s="218"/>
      <c r="AT149" s="39"/>
      <c r="AU149" s="39"/>
      <c r="AV149" s="39"/>
      <c r="AW149" s="39"/>
      <c r="AX149" s="216"/>
    </row>
    <row r="150" spans="1:50" ht="11.25" customHeight="1" hidden="1" outlineLevel="1">
      <c r="A150" s="206" t="s">
        <v>347</v>
      </c>
      <c r="B150" s="215">
        <v>667800</v>
      </c>
      <c r="C150" s="215">
        <v>87222</v>
      </c>
      <c r="D150" s="215">
        <v>0</v>
      </c>
      <c r="E150" s="215">
        <v>415191</v>
      </c>
      <c r="F150" s="215">
        <v>58575.7</v>
      </c>
      <c r="G150" s="215">
        <v>54848.205</v>
      </c>
      <c r="H150" s="215">
        <v>117843</v>
      </c>
      <c r="I150" s="215">
        <v>9816</v>
      </c>
      <c r="J150" s="215">
        <v>0</v>
      </c>
      <c r="K150" s="215">
        <v>0</v>
      </c>
      <c r="L150" s="215">
        <v>0</v>
      </c>
      <c r="M150" s="215">
        <v>18576</v>
      </c>
      <c r="N150" s="215">
        <v>180053</v>
      </c>
      <c r="O150" s="215">
        <v>47655</v>
      </c>
      <c r="P150" s="39">
        <v>1448240</v>
      </c>
      <c r="Q150" s="39">
        <v>3076194</v>
      </c>
      <c r="R150" s="39">
        <v>669889</v>
      </c>
      <c r="S150" s="39">
        <v>0</v>
      </c>
      <c r="T150" s="215">
        <v>8525600</v>
      </c>
      <c r="U150" s="215">
        <v>459636</v>
      </c>
      <c r="V150" s="215">
        <v>0</v>
      </c>
      <c r="W150" s="215">
        <v>68</v>
      </c>
      <c r="X150" s="215">
        <v>0</v>
      </c>
      <c r="Y150" s="215">
        <v>0</v>
      </c>
      <c r="Z150" s="215">
        <v>22996</v>
      </c>
      <c r="AA150" s="215">
        <v>30109</v>
      </c>
      <c r="AB150" s="205">
        <v>60019</v>
      </c>
      <c r="AC150" s="216">
        <v>3569</v>
      </c>
      <c r="AD150" s="216">
        <v>19353</v>
      </c>
      <c r="AE150" s="215">
        <v>7205</v>
      </c>
      <c r="AF150" s="216">
        <v>1474204.148</v>
      </c>
      <c r="AG150" s="216">
        <v>2021833.097</v>
      </c>
      <c r="AH150" s="216">
        <v>669396.271</v>
      </c>
      <c r="AI150" s="215">
        <v>167699</v>
      </c>
      <c r="AJ150" s="215">
        <v>46435</v>
      </c>
      <c r="AK150" s="215">
        <v>0</v>
      </c>
      <c r="AL150" s="216">
        <v>216738.266</v>
      </c>
      <c r="AM150" s="216">
        <v>985724.031</v>
      </c>
      <c r="AN150" s="216">
        <v>741737.921</v>
      </c>
      <c r="AO150" s="216">
        <v>0</v>
      </c>
      <c r="AP150" s="215">
        <v>1285</v>
      </c>
      <c r="AQ150" s="215">
        <v>793132</v>
      </c>
      <c r="AR150" s="216"/>
      <c r="AS150" s="205">
        <f t="shared" si="20"/>
        <v>23098642.639000002</v>
      </c>
      <c r="AT150" s="39"/>
      <c r="AU150" s="39"/>
      <c r="AV150" s="39"/>
      <c r="AW150" s="39"/>
      <c r="AX150" s="216"/>
    </row>
    <row r="151" spans="1:50" ht="11.25" customHeight="1" hidden="1" outlineLevel="1">
      <c r="A151" s="206" t="s">
        <v>348</v>
      </c>
      <c r="B151" s="215">
        <v>799250</v>
      </c>
      <c r="C151" s="215">
        <v>411589</v>
      </c>
      <c r="D151" s="215">
        <v>0</v>
      </c>
      <c r="E151" s="215">
        <v>314061</v>
      </c>
      <c r="F151" s="215">
        <v>85004.4</v>
      </c>
      <c r="G151" s="215">
        <v>317057.326</v>
      </c>
      <c r="H151" s="215">
        <v>0</v>
      </c>
      <c r="I151" s="215">
        <v>0</v>
      </c>
      <c r="J151" s="215">
        <v>0</v>
      </c>
      <c r="K151" s="215">
        <v>0</v>
      </c>
      <c r="L151" s="215">
        <v>0</v>
      </c>
      <c r="M151" s="215">
        <v>50746</v>
      </c>
      <c r="N151" s="215">
        <v>46483</v>
      </c>
      <c r="O151" s="215">
        <v>0</v>
      </c>
      <c r="P151" s="39">
        <v>468853</v>
      </c>
      <c r="Q151" s="39">
        <v>595311</v>
      </c>
      <c r="R151" s="39">
        <v>60524</v>
      </c>
      <c r="S151" s="39">
        <v>0</v>
      </c>
      <c r="T151" s="215">
        <v>5599243</v>
      </c>
      <c r="U151" s="215">
        <v>1053648</v>
      </c>
      <c r="V151" s="215">
        <v>0</v>
      </c>
      <c r="W151" s="215">
        <v>13414</v>
      </c>
      <c r="X151" s="215">
        <v>56329</v>
      </c>
      <c r="Y151" s="215">
        <v>0</v>
      </c>
      <c r="Z151" s="215">
        <v>0</v>
      </c>
      <c r="AA151" s="215">
        <v>14582</v>
      </c>
      <c r="AB151" s="216">
        <v>104168</v>
      </c>
      <c r="AC151" s="216">
        <v>7701</v>
      </c>
      <c r="AD151" s="216">
        <v>14745</v>
      </c>
      <c r="AE151" s="215">
        <v>14113</v>
      </c>
      <c r="AF151" s="216">
        <v>0</v>
      </c>
      <c r="AG151" s="216">
        <v>0</v>
      </c>
      <c r="AH151" s="216">
        <v>0</v>
      </c>
      <c r="AI151" s="215">
        <v>0</v>
      </c>
      <c r="AJ151" s="215">
        <v>0</v>
      </c>
      <c r="AK151" s="215">
        <v>0</v>
      </c>
      <c r="AL151" s="216">
        <v>0</v>
      </c>
      <c r="AM151" s="216">
        <v>0</v>
      </c>
      <c r="AN151" s="216">
        <v>0</v>
      </c>
      <c r="AO151" s="216">
        <v>0</v>
      </c>
      <c r="AP151" s="215">
        <v>2997</v>
      </c>
      <c r="AQ151" s="215">
        <v>0</v>
      </c>
      <c r="AR151" s="216"/>
      <c r="AS151" s="205">
        <f t="shared" si="20"/>
        <v>10029818.726</v>
      </c>
      <c r="AT151" s="39"/>
      <c r="AU151" s="39"/>
      <c r="AV151" s="39"/>
      <c r="AW151" s="39"/>
      <c r="AX151" s="216"/>
    </row>
    <row r="152" spans="1:50" ht="11.25" customHeight="1" hidden="1" outlineLevel="1">
      <c r="A152" s="206" t="s">
        <v>349</v>
      </c>
      <c r="B152" s="215">
        <v>0</v>
      </c>
      <c r="C152" s="215">
        <v>0</v>
      </c>
      <c r="D152" s="215">
        <v>128571</v>
      </c>
      <c r="E152" s="215">
        <v>124374</v>
      </c>
      <c r="F152" s="215">
        <v>0</v>
      </c>
      <c r="G152" s="215">
        <v>0</v>
      </c>
      <c r="H152" s="215">
        <v>0</v>
      </c>
      <c r="I152" s="215">
        <v>0</v>
      </c>
      <c r="J152" s="215">
        <v>0</v>
      </c>
      <c r="K152" s="215">
        <v>0</v>
      </c>
      <c r="L152" s="215">
        <v>0</v>
      </c>
      <c r="M152" s="215">
        <v>0</v>
      </c>
      <c r="N152" s="215">
        <v>0</v>
      </c>
      <c r="O152" s="215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215">
        <v>0</v>
      </c>
      <c r="W152" s="215">
        <v>7536</v>
      </c>
      <c r="X152" s="215">
        <v>79249</v>
      </c>
      <c r="Y152" s="215">
        <v>0</v>
      </c>
      <c r="Z152" s="215">
        <v>0</v>
      </c>
      <c r="AA152" s="215">
        <v>0</v>
      </c>
      <c r="AB152" s="215">
        <v>0</v>
      </c>
      <c r="AC152" s="215">
        <v>0</v>
      </c>
      <c r="AD152" s="215">
        <v>0</v>
      </c>
      <c r="AE152" s="215">
        <v>0</v>
      </c>
      <c r="AF152" s="216">
        <v>0</v>
      </c>
      <c r="AG152" s="216">
        <v>0</v>
      </c>
      <c r="AH152" s="216">
        <v>0</v>
      </c>
      <c r="AI152" s="215">
        <v>0</v>
      </c>
      <c r="AJ152" s="215">
        <v>0</v>
      </c>
      <c r="AK152" s="215">
        <v>0</v>
      </c>
      <c r="AL152" s="216">
        <v>0</v>
      </c>
      <c r="AM152" s="216">
        <v>0</v>
      </c>
      <c r="AN152" s="216">
        <v>0</v>
      </c>
      <c r="AO152" s="216">
        <v>0</v>
      </c>
      <c r="AP152" s="216">
        <v>0</v>
      </c>
      <c r="AQ152" s="215">
        <v>3500</v>
      </c>
      <c r="AR152" s="216"/>
      <c r="AS152" s="205">
        <f t="shared" si="20"/>
        <v>343230</v>
      </c>
      <c r="AT152" s="39"/>
      <c r="AU152" s="39"/>
      <c r="AV152" s="39"/>
      <c r="AW152" s="39"/>
      <c r="AX152" s="216"/>
    </row>
    <row r="153" spans="1:50" ht="11.25" customHeight="1" hidden="1" outlineLevel="1">
      <c r="A153" s="206" t="s">
        <v>350</v>
      </c>
      <c r="B153" s="215">
        <v>0</v>
      </c>
      <c r="C153" s="215">
        <v>0</v>
      </c>
      <c r="D153" s="215">
        <v>0</v>
      </c>
      <c r="E153" s="215">
        <v>0</v>
      </c>
      <c r="F153" s="215">
        <v>0</v>
      </c>
      <c r="G153" s="215">
        <v>0</v>
      </c>
      <c r="H153" s="215">
        <v>0</v>
      </c>
      <c r="I153" s="215">
        <v>0</v>
      </c>
      <c r="J153" s="215">
        <v>9991</v>
      </c>
      <c r="K153" s="215">
        <v>0</v>
      </c>
      <c r="L153" s="215">
        <v>0</v>
      </c>
      <c r="M153" s="215">
        <v>0</v>
      </c>
      <c r="N153" s="215">
        <v>0</v>
      </c>
      <c r="O153" s="215">
        <v>0</v>
      </c>
      <c r="P153" s="217">
        <v>0</v>
      </c>
      <c r="Q153" s="217">
        <v>0</v>
      </c>
      <c r="R153" s="217">
        <v>0</v>
      </c>
      <c r="S153" s="39">
        <v>448456</v>
      </c>
      <c r="T153" s="39">
        <v>0</v>
      </c>
      <c r="U153" s="39">
        <v>0</v>
      </c>
      <c r="V153" s="215">
        <v>1344441</v>
      </c>
      <c r="W153" s="215">
        <v>0</v>
      </c>
      <c r="X153" s="215">
        <v>0</v>
      </c>
      <c r="Y153" s="215">
        <v>0</v>
      </c>
      <c r="Z153" s="215">
        <v>0</v>
      </c>
      <c r="AA153" s="215">
        <v>0</v>
      </c>
      <c r="AB153" s="205">
        <v>-149</v>
      </c>
      <c r="AC153" s="215">
        <v>0</v>
      </c>
      <c r="AD153" s="215">
        <v>0</v>
      </c>
      <c r="AE153" s="215">
        <v>0</v>
      </c>
      <c r="AF153" s="216">
        <v>0</v>
      </c>
      <c r="AG153" s="216">
        <v>0</v>
      </c>
      <c r="AH153" s="216">
        <v>0</v>
      </c>
      <c r="AI153" s="215">
        <v>0</v>
      </c>
      <c r="AJ153" s="215">
        <v>0</v>
      </c>
      <c r="AK153" s="215">
        <v>0</v>
      </c>
      <c r="AL153" s="216">
        <v>0</v>
      </c>
      <c r="AM153" s="216">
        <v>0</v>
      </c>
      <c r="AN153" s="216">
        <v>0</v>
      </c>
      <c r="AO153" s="216">
        <v>295365.063</v>
      </c>
      <c r="AP153" s="216">
        <v>0</v>
      </c>
      <c r="AQ153" s="216">
        <v>0</v>
      </c>
      <c r="AR153" s="216"/>
      <c r="AS153" s="205">
        <f t="shared" si="20"/>
        <v>2098104.063</v>
      </c>
      <c r="AT153" s="39"/>
      <c r="AU153" s="39"/>
      <c r="AV153" s="39"/>
      <c r="AW153" s="39"/>
      <c r="AX153" s="216"/>
    </row>
    <row r="154" spans="1:50" ht="11.25" customHeight="1" hidden="1" outlineLevel="1">
      <c r="A154" s="206" t="s">
        <v>351</v>
      </c>
      <c r="B154" s="215">
        <v>0</v>
      </c>
      <c r="C154" s="215">
        <v>0</v>
      </c>
      <c r="D154" s="215">
        <v>0</v>
      </c>
      <c r="E154" s="215">
        <v>0</v>
      </c>
      <c r="F154" s="215">
        <v>0</v>
      </c>
      <c r="G154" s="215">
        <v>0</v>
      </c>
      <c r="H154" s="215">
        <v>0</v>
      </c>
      <c r="I154" s="215">
        <v>0</v>
      </c>
      <c r="J154" s="215">
        <v>0</v>
      </c>
      <c r="K154" s="215">
        <v>0</v>
      </c>
      <c r="L154" s="215">
        <v>0</v>
      </c>
      <c r="M154" s="215">
        <v>0</v>
      </c>
      <c r="N154" s="215">
        <v>0</v>
      </c>
      <c r="O154" s="215">
        <v>0</v>
      </c>
      <c r="P154" s="217">
        <v>0</v>
      </c>
      <c r="Q154" s="217">
        <v>0</v>
      </c>
      <c r="R154" s="217">
        <v>0</v>
      </c>
      <c r="S154" s="39">
        <v>0</v>
      </c>
      <c r="T154" s="39">
        <v>0</v>
      </c>
      <c r="U154" s="39">
        <v>0</v>
      </c>
      <c r="V154" s="39">
        <v>0</v>
      </c>
      <c r="W154" s="215">
        <v>2324</v>
      </c>
      <c r="X154" s="215">
        <v>11017</v>
      </c>
      <c r="Y154" s="215">
        <v>0</v>
      </c>
      <c r="Z154" s="215">
        <v>0</v>
      </c>
      <c r="AA154" s="215">
        <v>0</v>
      </c>
      <c r="AB154" s="215">
        <v>0</v>
      </c>
      <c r="AC154" s="215">
        <v>0</v>
      </c>
      <c r="AD154" s="215">
        <v>0</v>
      </c>
      <c r="AE154" s="215">
        <v>0</v>
      </c>
      <c r="AF154" s="216">
        <v>121877.822</v>
      </c>
      <c r="AG154" s="216">
        <v>-46290.828</v>
      </c>
      <c r="AH154" s="216">
        <v>-64209.197</v>
      </c>
      <c r="AI154" s="215">
        <v>0</v>
      </c>
      <c r="AJ154" s="215">
        <v>0</v>
      </c>
      <c r="AK154" s="215">
        <v>0</v>
      </c>
      <c r="AL154" s="216">
        <v>0</v>
      </c>
      <c r="AM154" s="216">
        <v>0</v>
      </c>
      <c r="AN154" s="216">
        <v>0</v>
      </c>
      <c r="AO154" s="216">
        <v>0</v>
      </c>
      <c r="AP154" s="216">
        <v>0</v>
      </c>
      <c r="AQ154" s="216">
        <v>0</v>
      </c>
      <c r="AR154" s="216"/>
      <c r="AS154" s="205">
        <f t="shared" si="20"/>
        <v>24718.796999999977</v>
      </c>
      <c r="AT154" s="39"/>
      <c r="AU154" s="39"/>
      <c r="AV154" s="39"/>
      <c r="AW154" s="39"/>
      <c r="AX154" s="216"/>
    </row>
    <row r="155" spans="1:50" ht="11.25" customHeight="1" hidden="1" outlineLevel="1">
      <c r="A155" s="206" t="s">
        <v>352</v>
      </c>
      <c r="B155" s="215">
        <v>0</v>
      </c>
      <c r="C155" s="215">
        <v>0</v>
      </c>
      <c r="D155" s="215">
        <v>0</v>
      </c>
      <c r="E155" s="215">
        <v>0</v>
      </c>
      <c r="F155" s="215">
        <v>0</v>
      </c>
      <c r="G155" s="215">
        <v>0</v>
      </c>
      <c r="H155" s="215">
        <v>0</v>
      </c>
      <c r="I155" s="215">
        <v>0</v>
      </c>
      <c r="J155" s="215">
        <v>0</v>
      </c>
      <c r="K155" s="215">
        <v>0</v>
      </c>
      <c r="L155" s="215">
        <v>0</v>
      </c>
      <c r="M155" s="215">
        <v>0</v>
      </c>
      <c r="N155" s="215">
        <v>0</v>
      </c>
      <c r="O155" s="215">
        <v>0</v>
      </c>
      <c r="P155" s="217">
        <v>0</v>
      </c>
      <c r="Q155" s="217">
        <v>0</v>
      </c>
      <c r="R155" s="217">
        <v>0</v>
      </c>
      <c r="S155" s="217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215">
        <v>0</v>
      </c>
      <c r="Z155" s="215">
        <v>0</v>
      </c>
      <c r="AA155" s="215">
        <v>0</v>
      </c>
      <c r="AB155" s="215">
        <v>0</v>
      </c>
      <c r="AC155" s="215">
        <v>0</v>
      </c>
      <c r="AD155" s="215">
        <v>0</v>
      </c>
      <c r="AE155" s="215">
        <v>0</v>
      </c>
      <c r="AF155" s="216">
        <v>0</v>
      </c>
      <c r="AG155" s="216">
        <v>0</v>
      </c>
      <c r="AH155" s="216">
        <v>0</v>
      </c>
      <c r="AI155" s="215">
        <v>0</v>
      </c>
      <c r="AJ155" s="215">
        <v>0</v>
      </c>
      <c r="AK155" s="215">
        <v>0</v>
      </c>
      <c r="AL155" s="216">
        <v>0</v>
      </c>
      <c r="AM155" s="216">
        <v>0</v>
      </c>
      <c r="AN155" s="216">
        <v>0</v>
      </c>
      <c r="AO155" s="216">
        <v>0</v>
      </c>
      <c r="AP155" s="216">
        <v>0</v>
      </c>
      <c r="AQ155" s="216">
        <v>0</v>
      </c>
      <c r="AR155" s="216"/>
      <c r="AS155" s="205">
        <f t="shared" si="20"/>
        <v>0</v>
      </c>
      <c r="AT155" s="39"/>
      <c r="AU155" s="39"/>
      <c r="AV155" s="39"/>
      <c r="AW155" s="39"/>
      <c r="AX155" s="216"/>
    </row>
    <row r="156" spans="1:50" ht="11.25" customHeight="1" hidden="1" outlineLevel="1">
      <c r="A156" s="206" t="s">
        <v>353</v>
      </c>
      <c r="B156" s="215">
        <v>0</v>
      </c>
      <c r="C156" s="215">
        <v>0</v>
      </c>
      <c r="D156" s="215">
        <v>0</v>
      </c>
      <c r="E156" s="215">
        <v>0</v>
      </c>
      <c r="F156" s="215">
        <v>0</v>
      </c>
      <c r="G156" s="215">
        <v>0</v>
      </c>
      <c r="H156" s="215">
        <v>0</v>
      </c>
      <c r="I156" s="215">
        <v>0</v>
      </c>
      <c r="J156" s="215">
        <v>0</v>
      </c>
      <c r="K156" s="215">
        <v>0</v>
      </c>
      <c r="L156" s="215">
        <v>0</v>
      </c>
      <c r="M156" s="215">
        <v>0</v>
      </c>
      <c r="N156" s="215">
        <v>0</v>
      </c>
      <c r="O156" s="215">
        <v>0</v>
      </c>
      <c r="P156" s="217">
        <v>0</v>
      </c>
      <c r="Q156" s="217">
        <v>0</v>
      </c>
      <c r="R156" s="217">
        <v>0</v>
      </c>
      <c r="S156" s="217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215">
        <v>0</v>
      </c>
      <c r="Z156" s="215">
        <v>0</v>
      </c>
      <c r="AA156" s="215">
        <v>0</v>
      </c>
      <c r="AB156" s="215">
        <v>0</v>
      </c>
      <c r="AC156" s="215">
        <v>0</v>
      </c>
      <c r="AD156" s="215">
        <v>0</v>
      </c>
      <c r="AE156" s="215">
        <v>0</v>
      </c>
      <c r="AF156" s="216">
        <v>0</v>
      </c>
      <c r="AG156" s="216">
        <v>0</v>
      </c>
      <c r="AH156" s="216">
        <v>0</v>
      </c>
      <c r="AI156" s="215">
        <v>0</v>
      </c>
      <c r="AJ156" s="215">
        <v>0</v>
      </c>
      <c r="AK156" s="215">
        <v>0</v>
      </c>
      <c r="AL156" s="216">
        <v>0</v>
      </c>
      <c r="AM156" s="216">
        <v>0</v>
      </c>
      <c r="AN156" s="216">
        <v>0</v>
      </c>
      <c r="AO156" s="216">
        <v>0</v>
      </c>
      <c r="AP156" s="216">
        <v>0</v>
      </c>
      <c r="AQ156" s="216">
        <v>0</v>
      </c>
      <c r="AR156" s="216"/>
      <c r="AS156" s="205">
        <f t="shared" si="20"/>
        <v>0</v>
      </c>
      <c r="AT156" s="39"/>
      <c r="AU156" s="39"/>
      <c r="AV156" s="39"/>
      <c r="AW156" s="39"/>
      <c r="AX156" s="216"/>
    </row>
    <row r="157" spans="1:50" ht="11.25" customHeight="1" collapsed="1">
      <c r="A157" s="229" t="s">
        <v>354</v>
      </c>
      <c r="B157" s="215">
        <f>SUM(B150:B156)</f>
        <v>1467050</v>
      </c>
      <c r="C157" s="215">
        <f aca="true" t="shared" si="24" ref="C157:AQ157">SUM(C150:C156)</f>
        <v>498811</v>
      </c>
      <c r="D157" s="215">
        <f t="shared" si="24"/>
        <v>128571</v>
      </c>
      <c r="E157" s="215">
        <f t="shared" si="24"/>
        <v>853626</v>
      </c>
      <c r="F157" s="215">
        <f t="shared" si="24"/>
        <v>143580.09999999998</v>
      </c>
      <c r="G157" s="215">
        <f t="shared" si="24"/>
        <v>371905.531</v>
      </c>
      <c r="H157" s="215">
        <f t="shared" si="24"/>
        <v>117843</v>
      </c>
      <c r="I157" s="215">
        <f t="shared" si="24"/>
        <v>9816</v>
      </c>
      <c r="J157" s="215">
        <f t="shared" si="24"/>
        <v>9991</v>
      </c>
      <c r="K157" s="215">
        <f t="shared" si="24"/>
        <v>0</v>
      </c>
      <c r="L157" s="215">
        <f t="shared" si="24"/>
        <v>0</v>
      </c>
      <c r="M157" s="215">
        <f t="shared" si="24"/>
        <v>69322</v>
      </c>
      <c r="N157" s="215">
        <f t="shared" si="24"/>
        <v>226536</v>
      </c>
      <c r="O157" s="215">
        <f t="shared" si="24"/>
        <v>47655</v>
      </c>
      <c r="P157" s="215">
        <f t="shared" si="24"/>
        <v>1917093</v>
      </c>
      <c r="Q157" s="215">
        <f t="shared" si="24"/>
        <v>3671505</v>
      </c>
      <c r="R157" s="215">
        <f t="shared" si="24"/>
        <v>730413</v>
      </c>
      <c r="S157" s="215">
        <f t="shared" si="24"/>
        <v>448456</v>
      </c>
      <c r="T157" s="215">
        <f t="shared" si="24"/>
        <v>14124843</v>
      </c>
      <c r="U157" s="215">
        <f t="shared" si="24"/>
        <v>1513284</v>
      </c>
      <c r="V157" s="215">
        <f t="shared" si="24"/>
        <v>1344441</v>
      </c>
      <c r="W157" s="215">
        <f t="shared" si="24"/>
        <v>23342</v>
      </c>
      <c r="X157" s="215">
        <f t="shared" si="24"/>
        <v>146595</v>
      </c>
      <c r="Y157" s="215">
        <f t="shared" si="24"/>
        <v>0</v>
      </c>
      <c r="Z157" s="215">
        <f t="shared" si="24"/>
        <v>22996</v>
      </c>
      <c r="AA157" s="215">
        <f t="shared" si="24"/>
        <v>44691</v>
      </c>
      <c r="AB157" s="215">
        <f t="shared" si="24"/>
        <v>164038</v>
      </c>
      <c r="AC157" s="215">
        <f t="shared" si="24"/>
        <v>11270</v>
      </c>
      <c r="AD157" s="215">
        <f t="shared" si="24"/>
        <v>34098</v>
      </c>
      <c r="AE157" s="215">
        <f t="shared" si="24"/>
        <v>21318</v>
      </c>
      <c r="AF157" s="215">
        <f>SUM(AF150:AF156)</f>
        <v>1596081.97</v>
      </c>
      <c r="AG157" s="215">
        <f>SUM(AG150:AG156)</f>
        <v>1975542.269</v>
      </c>
      <c r="AH157" s="215">
        <f>SUM(AH150:AH156)</f>
        <v>605187.0739999999</v>
      </c>
      <c r="AI157" s="215">
        <f t="shared" si="24"/>
        <v>167699</v>
      </c>
      <c r="AJ157" s="215">
        <f t="shared" si="24"/>
        <v>46435</v>
      </c>
      <c r="AK157" s="215">
        <f t="shared" si="24"/>
        <v>0</v>
      </c>
      <c r="AL157" s="215">
        <f t="shared" si="24"/>
        <v>216738.266</v>
      </c>
      <c r="AM157" s="215">
        <f t="shared" si="24"/>
        <v>985724.031</v>
      </c>
      <c r="AN157" s="215">
        <f t="shared" si="24"/>
        <v>741737.921</v>
      </c>
      <c r="AO157" s="215">
        <f t="shared" si="24"/>
        <v>295365.063</v>
      </c>
      <c r="AP157" s="215">
        <f t="shared" si="24"/>
        <v>4282</v>
      </c>
      <c r="AQ157" s="215">
        <f t="shared" si="24"/>
        <v>796632</v>
      </c>
      <c r="AR157" s="39"/>
      <c r="AS157" s="205">
        <f t="shared" si="20"/>
        <v>35594514.225</v>
      </c>
      <c r="AT157" s="39"/>
      <c r="AU157" s="39"/>
      <c r="AV157" s="39"/>
      <c r="AW157" s="39"/>
      <c r="AX157" s="216"/>
    </row>
    <row r="158" spans="1:50" ht="11.25" customHeight="1">
      <c r="A158" s="206"/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S158" s="205">
        <f t="shared" si="20"/>
        <v>0</v>
      </c>
      <c r="AT158" s="39"/>
      <c r="AU158" s="39"/>
      <c r="AV158" s="39"/>
      <c r="AW158" s="39"/>
      <c r="AX158" s="216"/>
    </row>
    <row r="159" spans="1:50" ht="11.25" customHeight="1">
      <c r="A159" s="229" t="s">
        <v>355</v>
      </c>
      <c r="B159" s="215">
        <f>+B147-B157</f>
        <v>-18489.199999999953</v>
      </c>
      <c r="C159" s="215">
        <f aca="true" t="shared" si="25" ref="C159:AQ159">+C147-C157</f>
        <v>3771.4000000000233</v>
      </c>
      <c r="D159" s="215">
        <f t="shared" si="25"/>
        <v>1588</v>
      </c>
      <c r="E159" s="215">
        <f t="shared" si="25"/>
        <v>31711</v>
      </c>
      <c r="F159" s="215">
        <f t="shared" si="25"/>
        <v>-811.4169999999867</v>
      </c>
      <c r="G159" s="215">
        <f t="shared" si="25"/>
        <v>318.6669999999576</v>
      </c>
      <c r="H159" s="215">
        <f t="shared" si="25"/>
        <v>-2991</v>
      </c>
      <c r="I159" s="215">
        <f t="shared" si="25"/>
        <v>-58</v>
      </c>
      <c r="J159" s="215">
        <f t="shared" si="25"/>
        <v>-984</v>
      </c>
      <c r="K159" s="215">
        <f t="shared" si="25"/>
        <v>6064</v>
      </c>
      <c r="L159" s="215">
        <f t="shared" si="25"/>
        <v>27252</v>
      </c>
      <c r="M159" s="215">
        <f t="shared" si="25"/>
        <v>0</v>
      </c>
      <c r="N159" s="215">
        <f t="shared" si="25"/>
        <v>0</v>
      </c>
      <c r="O159" s="215">
        <f t="shared" si="25"/>
        <v>0</v>
      </c>
      <c r="P159" s="215">
        <f t="shared" si="25"/>
        <v>243</v>
      </c>
      <c r="Q159" s="215">
        <f t="shared" si="25"/>
        <v>-79922</v>
      </c>
      <c r="R159" s="215">
        <f t="shared" si="25"/>
        <v>1954</v>
      </c>
      <c r="S159" s="215">
        <f t="shared" si="25"/>
        <v>2051</v>
      </c>
      <c r="T159" s="215">
        <f t="shared" si="25"/>
        <v>74416</v>
      </c>
      <c r="U159" s="215">
        <f t="shared" si="25"/>
        <v>-17002</v>
      </c>
      <c r="V159" s="215">
        <f t="shared" si="25"/>
        <v>16234</v>
      </c>
      <c r="W159" s="215">
        <f t="shared" si="25"/>
        <v>9738</v>
      </c>
      <c r="X159" s="215">
        <f t="shared" si="25"/>
        <v>26183</v>
      </c>
      <c r="Y159" s="215">
        <f t="shared" si="25"/>
        <v>0</v>
      </c>
      <c r="Z159" s="215">
        <f t="shared" si="25"/>
        <v>153</v>
      </c>
      <c r="AA159" s="215">
        <f t="shared" si="25"/>
        <v>40</v>
      </c>
      <c r="AB159" s="215">
        <f t="shared" si="25"/>
        <v>0</v>
      </c>
      <c r="AC159" s="215">
        <f t="shared" si="25"/>
        <v>0</v>
      </c>
      <c r="AD159" s="215">
        <f t="shared" si="25"/>
        <v>0</v>
      </c>
      <c r="AE159" s="215">
        <f t="shared" si="25"/>
        <v>-1708</v>
      </c>
      <c r="AF159" s="215">
        <f>+AF147-AF157</f>
        <v>11264.820999999996</v>
      </c>
      <c r="AG159" s="215">
        <f>+AG147-AG157</f>
        <v>10930.48999999999</v>
      </c>
      <c r="AH159" s="215">
        <f>+AH147-AH157</f>
        <v>3629.0890000000363</v>
      </c>
      <c r="AI159" s="215">
        <f t="shared" si="25"/>
        <v>-281</v>
      </c>
      <c r="AJ159" s="215">
        <f t="shared" si="25"/>
        <v>-145</v>
      </c>
      <c r="AK159" s="215">
        <f t="shared" si="25"/>
        <v>12354</v>
      </c>
      <c r="AL159" s="215">
        <f t="shared" si="25"/>
        <v>-8846.72100000002</v>
      </c>
      <c r="AM159" s="215">
        <f t="shared" si="25"/>
        <v>-48631.21299999999</v>
      </c>
      <c r="AN159" s="215">
        <f t="shared" si="25"/>
        <v>-82160.00600000005</v>
      </c>
      <c r="AO159" s="215">
        <f t="shared" si="25"/>
        <v>-90.72900000005029</v>
      </c>
      <c r="AP159" s="215">
        <f t="shared" si="25"/>
        <v>700</v>
      </c>
      <c r="AQ159" s="215">
        <f t="shared" si="25"/>
        <v>2292</v>
      </c>
      <c r="AR159" s="39"/>
      <c r="AS159" s="205">
        <f t="shared" si="20"/>
        <v>-19232.819000000047</v>
      </c>
      <c r="AT159" s="39"/>
      <c r="AU159" s="39"/>
      <c r="AV159" s="39"/>
      <c r="AW159" s="39"/>
      <c r="AX159" s="216"/>
    </row>
    <row r="160" spans="1:50" ht="11.25" customHeight="1">
      <c r="A160" s="229"/>
      <c r="B160" s="215"/>
      <c r="C160" s="215"/>
      <c r="D160" s="215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7"/>
      <c r="Q160" s="217"/>
      <c r="R160" s="217"/>
      <c r="S160" s="217"/>
      <c r="T160" s="218"/>
      <c r="U160" s="218"/>
      <c r="V160" s="218"/>
      <c r="W160" s="218"/>
      <c r="X160" s="218"/>
      <c r="Y160" s="218"/>
      <c r="Z160" s="218"/>
      <c r="AA160" s="218"/>
      <c r="AE160" s="218"/>
      <c r="AI160" s="218"/>
      <c r="AJ160" s="218"/>
      <c r="AK160" s="218"/>
      <c r="AP160" s="218"/>
      <c r="AQ160" s="218"/>
      <c r="AT160" s="39"/>
      <c r="AU160" s="39"/>
      <c r="AV160" s="39"/>
      <c r="AW160" s="39"/>
      <c r="AX160" s="216"/>
    </row>
    <row r="161" spans="1:50" ht="11.25" customHeight="1">
      <c r="A161" s="229" t="s">
        <v>356</v>
      </c>
      <c r="B161" s="215">
        <v>42302</v>
      </c>
      <c r="C161" s="215">
        <v>4257.4</v>
      </c>
      <c r="D161" s="215">
        <v>0</v>
      </c>
      <c r="E161" s="39">
        <v>14164</v>
      </c>
      <c r="F161" s="39">
        <v>1603</v>
      </c>
      <c r="G161" s="39">
        <v>472</v>
      </c>
      <c r="H161" s="39">
        <v>4947</v>
      </c>
      <c r="I161" s="39">
        <v>261</v>
      </c>
      <c r="J161" s="39">
        <v>984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32648</v>
      </c>
      <c r="Q161" s="39">
        <v>129681</v>
      </c>
      <c r="R161" s="39">
        <v>3938</v>
      </c>
      <c r="S161" s="39">
        <v>1534</v>
      </c>
      <c r="T161" s="39">
        <v>164975</v>
      </c>
      <c r="U161" s="39">
        <v>36881</v>
      </c>
      <c r="V161" s="39">
        <v>64010</v>
      </c>
      <c r="W161" s="39">
        <v>0</v>
      </c>
      <c r="X161" s="39">
        <v>0</v>
      </c>
      <c r="Y161" s="39">
        <v>0</v>
      </c>
      <c r="Z161" s="39">
        <v>13</v>
      </c>
      <c r="AA161" s="39">
        <v>3</v>
      </c>
      <c r="AB161" s="39">
        <v>0</v>
      </c>
      <c r="AC161" s="39">
        <v>0</v>
      </c>
      <c r="AD161" s="39">
        <v>0</v>
      </c>
      <c r="AE161" s="39">
        <v>2957</v>
      </c>
      <c r="AF161" s="39">
        <v>12683.043</v>
      </c>
      <c r="AG161" s="39">
        <v>662.476</v>
      </c>
      <c r="AH161" s="39">
        <v>546.506</v>
      </c>
      <c r="AI161" s="39">
        <v>4920</v>
      </c>
      <c r="AJ161" s="39">
        <v>502</v>
      </c>
      <c r="AK161" s="39">
        <v>11940</v>
      </c>
      <c r="AL161" s="39">
        <v>14552.827</v>
      </c>
      <c r="AM161" s="39">
        <v>75450.786</v>
      </c>
      <c r="AN161" s="39">
        <v>102551.482</v>
      </c>
      <c r="AO161" s="39">
        <v>90.729</v>
      </c>
      <c r="AP161" s="39">
        <v>700</v>
      </c>
      <c r="AQ161" s="39">
        <v>4524</v>
      </c>
      <c r="AR161" s="39"/>
      <c r="AS161" s="205">
        <f t="shared" si="20"/>
        <v>734754.2490000001</v>
      </c>
      <c r="AT161" s="39"/>
      <c r="AU161" s="39"/>
      <c r="AV161" s="39"/>
      <c r="AW161" s="39"/>
      <c r="AX161" s="216"/>
    </row>
    <row r="162" spans="1:50" ht="11.25" customHeight="1">
      <c r="A162" s="206"/>
      <c r="B162" s="215"/>
      <c r="C162" s="215"/>
      <c r="D162" s="215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7"/>
      <c r="Q162" s="217"/>
      <c r="R162" s="217"/>
      <c r="S162" s="217"/>
      <c r="T162" s="218"/>
      <c r="U162" s="218"/>
      <c r="V162" s="218"/>
      <c r="W162" s="218"/>
      <c r="X162" s="218"/>
      <c r="Y162" s="218"/>
      <c r="Z162" s="218"/>
      <c r="AA162" s="218"/>
      <c r="AE162" s="218"/>
      <c r="AI162" s="218"/>
      <c r="AJ162" s="218"/>
      <c r="AK162" s="218"/>
      <c r="AP162" s="218"/>
      <c r="AQ162" s="218"/>
      <c r="AT162" s="39"/>
      <c r="AU162" s="39"/>
      <c r="AV162" s="39"/>
      <c r="AW162" s="39"/>
      <c r="AX162" s="216"/>
    </row>
    <row r="163" spans="1:50" s="209" customFormat="1" ht="11.25" customHeight="1">
      <c r="A163" s="288" t="s">
        <v>357</v>
      </c>
      <c r="B163" s="233">
        <f>+B159+B161</f>
        <v>23812.800000000047</v>
      </c>
      <c r="C163" s="233">
        <f aca="true" t="shared" si="26" ref="C163:AQ163">+C159+C161</f>
        <v>8028.800000000023</v>
      </c>
      <c r="D163" s="233">
        <f t="shared" si="26"/>
        <v>1588</v>
      </c>
      <c r="E163" s="233">
        <f t="shared" si="26"/>
        <v>45875</v>
      </c>
      <c r="F163" s="233">
        <f t="shared" si="26"/>
        <v>791.5830000000133</v>
      </c>
      <c r="G163" s="233">
        <f t="shared" si="26"/>
        <v>790.6669999999576</v>
      </c>
      <c r="H163" s="233">
        <f t="shared" si="26"/>
        <v>1956</v>
      </c>
      <c r="I163" s="233">
        <f t="shared" si="26"/>
        <v>203</v>
      </c>
      <c r="J163" s="233">
        <f t="shared" si="26"/>
        <v>0</v>
      </c>
      <c r="K163" s="233">
        <f t="shared" si="26"/>
        <v>6064</v>
      </c>
      <c r="L163" s="233">
        <f t="shared" si="26"/>
        <v>27252</v>
      </c>
      <c r="M163" s="233">
        <f t="shared" si="26"/>
        <v>0</v>
      </c>
      <c r="N163" s="233">
        <f t="shared" si="26"/>
        <v>0</v>
      </c>
      <c r="O163" s="233">
        <f t="shared" si="26"/>
        <v>0</v>
      </c>
      <c r="P163" s="233">
        <f t="shared" si="26"/>
        <v>32891</v>
      </c>
      <c r="Q163" s="233">
        <f t="shared" si="26"/>
        <v>49759</v>
      </c>
      <c r="R163" s="233">
        <f t="shared" si="26"/>
        <v>5892</v>
      </c>
      <c r="S163" s="233">
        <f t="shared" si="26"/>
        <v>3585</v>
      </c>
      <c r="T163" s="233">
        <f t="shared" si="26"/>
        <v>239391</v>
      </c>
      <c r="U163" s="233">
        <f t="shared" si="26"/>
        <v>19879</v>
      </c>
      <c r="V163" s="233">
        <f t="shared" si="26"/>
        <v>80244</v>
      </c>
      <c r="W163" s="233">
        <f t="shared" si="26"/>
        <v>9738</v>
      </c>
      <c r="X163" s="233">
        <f t="shared" si="26"/>
        <v>26183</v>
      </c>
      <c r="Y163" s="233">
        <f t="shared" si="26"/>
        <v>0</v>
      </c>
      <c r="Z163" s="233">
        <f t="shared" si="26"/>
        <v>166</v>
      </c>
      <c r="AA163" s="233">
        <f t="shared" si="26"/>
        <v>43</v>
      </c>
      <c r="AB163" s="233">
        <f t="shared" si="26"/>
        <v>0</v>
      </c>
      <c r="AC163" s="233">
        <f t="shared" si="26"/>
        <v>0</v>
      </c>
      <c r="AD163" s="233">
        <f t="shared" si="26"/>
        <v>0</v>
      </c>
      <c r="AE163" s="233">
        <f t="shared" si="26"/>
        <v>1249</v>
      </c>
      <c r="AF163" s="233">
        <f t="shared" si="26"/>
        <v>23947.863999999994</v>
      </c>
      <c r="AG163" s="233">
        <f t="shared" si="26"/>
        <v>11592.965999999991</v>
      </c>
      <c r="AH163" s="233">
        <f t="shared" si="26"/>
        <v>4175.595000000037</v>
      </c>
      <c r="AI163" s="233">
        <f t="shared" si="26"/>
        <v>4639</v>
      </c>
      <c r="AJ163" s="233">
        <f t="shared" si="26"/>
        <v>357</v>
      </c>
      <c r="AK163" s="233">
        <f t="shared" si="26"/>
        <v>24294</v>
      </c>
      <c r="AL163" s="233">
        <f t="shared" si="26"/>
        <v>5706.10599999998</v>
      </c>
      <c r="AM163" s="233">
        <f t="shared" si="26"/>
        <v>26819.573000000004</v>
      </c>
      <c r="AN163" s="233">
        <f t="shared" si="26"/>
        <v>20391.47599999995</v>
      </c>
      <c r="AO163" s="233">
        <f t="shared" si="26"/>
        <v>-5.029221483709989E-11</v>
      </c>
      <c r="AP163" s="233">
        <f t="shared" si="26"/>
        <v>1400</v>
      </c>
      <c r="AQ163" s="233">
        <f t="shared" si="26"/>
        <v>6816</v>
      </c>
      <c r="AR163" s="207"/>
      <c r="AS163" s="209">
        <f t="shared" si="20"/>
        <v>715521.43</v>
      </c>
      <c r="AT163" s="207"/>
      <c r="AU163" s="207"/>
      <c r="AV163" s="207"/>
      <c r="AW163" s="207"/>
      <c r="AX163" s="233"/>
    </row>
    <row r="168" spans="2:88" s="223" customFormat="1" ht="11.25" customHeight="1"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237"/>
      <c r="BQ168" s="237"/>
      <c r="BR168" s="237"/>
      <c r="BS168" s="237"/>
      <c r="BT168" s="237"/>
      <c r="BU168" s="237"/>
      <c r="BV168" s="237"/>
      <c r="BW168" s="237"/>
      <c r="BX168" s="237"/>
      <c r="BY168" s="237"/>
      <c r="BZ168" s="237"/>
      <c r="CA168" s="237"/>
      <c r="CB168" s="237"/>
      <c r="CC168" s="237"/>
      <c r="CD168" s="237"/>
      <c r="CE168" s="237"/>
      <c r="CF168" s="237"/>
      <c r="CG168" s="237"/>
      <c r="CH168" s="237"/>
      <c r="CI168" s="237"/>
      <c r="CJ168" s="237"/>
    </row>
    <row r="171" spans="4:41" ht="11.25" customHeight="1">
      <c r="D171" s="238"/>
      <c r="AE171" s="238"/>
      <c r="AN171" s="238"/>
      <c r="AO171" s="238"/>
    </row>
  </sheetData>
  <sheetProtection/>
  <mergeCells count="42">
    <mergeCell ref="AL1:AO1"/>
    <mergeCell ref="AL2:AO2"/>
    <mergeCell ref="AL3:AO3"/>
    <mergeCell ref="AL4:AO4"/>
    <mergeCell ref="AF1:AH1"/>
    <mergeCell ref="AF2:AH2"/>
    <mergeCell ref="AF3:AH3"/>
    <mergeCell ref="AF4:AH4"/>
    <mergeCell ref="AI1:AK1"/>
    <mergeCell ref="AI2:AK2"/>
    <mergeCell ref="AI3:AK3"/>
    <mergeCell ref="AI4:AK4"/>
    <mergeCell ref="AC1:AD1"/>
    <mergeCell ref="AC2:AD2"/>
    <mergeCell ref="AC3:AD3"/>
    <mergeCell ref="AC4:AD4"/>
    <mergeCell ref="W1:X1"/>
    <mergeCell ref="W2:X2"/>
    <mergeCell ref="W3:X3"/>
    <mergeCell ref="W4:X4"/>
    <mergeCell ref="M1:N1"/>
    <mergeCell ref="M2:N2"/>
    <mergeCell ref="M4:N4"/>
    <mergeCell ref="T1:V1"/>
    <mergeCell ref="T2:V2"/>
    <mergeCell ref="T3:V3"/>
    <mergeCell ref="T4:V4"/>
    <mergeCell ref="P1:S1"/>
    <mergeCell ref="P2:S2"/>
    <mergeCell ref="P4:S4"/>
    <mergeCell ref="H1:J1"/>
    <mergeCell ref="H2:J2"/>
    <mergeCell ref="H4:J4"/>
    <mergeCell ref="K1:L1"/>
    <mergeCell ref="K2:L2"/>
    <mergeCell ref="K4:L4"/>
    <mergeCell ref="B1:D1"/>
    <mergeCell ref="B2:D2"/>
    <mergeCell ref="B4:D4"/>
    <mergeCell ref="F1:G1"/>
    <mergeCell ref="F2:G2"/>
    <mergeCell ref="F4:G4"/>
  </mergeCells>
  <printOptions/>
  <pageMargins left="0.4724409448818898" right="0.27" top="0.984251968503937" bottom="0" header="0.23" footer="0.11811023622047245"/>
  <pageSetup firstPageNumber="56" useFirstPageNumber="1" horizontalDpi="600" verticalDpi="600" orientation="portrait" paperSize="9" scale="96" r:id="rId1"/>
  <headerFooter alignWithMargins="0">
    <oddHeader>&amp;C&amp;"Times New Roman,Bold"&amp;14 5.1. SÉREIGNADEILDIR
YFIRLIT, EFNAHAGSREIKNINGAR OG SJÓÐSTREYMI ÁRIÐ 2003</oddHeader>
    <oddFooter>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Sigríður Ómarsdóttir</dc:creator>
  <cp:keywords/>
  <dc:description/>
  <cp:lastModifiedBy>Arnar Jón Sigurgeirsson</cp:lastModifiedBy>
  <cp:lastPrinted>2004-09-02T10:46:53Z</cp:lastPrinted>
  <dcterms:created xsi:type="dcterms:W3CDTF">2001-12-27T12:25:25Z</dcterms:created>
  <dcterms:modified xsi:type="dcterms:W3CDTF">2012-03-16T14:31:03Z</dcterms:modified>
  <cp:category/>
  <cp:version/>
  <cp:contentType/>
  <cp:contentStatus/>
</cp:coreProperties>
</file>