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180" windowHeight="8940" tabRatio="822" firstSheet="3" activeTab="3"/>
  </bookViews>
  <sheets>
    <sheet name="2.1 Stafróf" sheetId="1" r:id="rId1"/>
    <sheet name="2.2 Listi" sheetId="2" r:id="rId2"/>
    <sheet name="2.3 Kerfi" sheetId="3" r:id="rId3"/>
    <sheet name="3.1 Yfirlit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 Sundurliðun" sheetId="11" r:id="rId11"/>
    <sheet name="7.1 Séreign þróun" sheetId="12" r:id="rId12"/>
  </sheets>
  <definedNames>
    <definedName name="altl_L">#REF!</definedName>
    <definedName name="Ár">#REF!</definedName>
    <definedName name="dálkur">#REF!</definedName>
    <definedName name="endur_lyklar">#REF!</definedName>
    <definedName name="eric_L">#REF!</definedName>
    <definedName name="iset_L">#REF!</definedName>
    <definedName name="KENNI">'4.1. Samtryggingard.'!$I$165:$AX$165+'5.1. Séreignard.'!$Q$165:$AT$165</definedName>
    <definedName name="líf_fernur">#REF!</definedName>
    <definedName name="líf_lyklar">#REF!</definedName>
    <definedName name="ltis_L">#REF!</definedName>
    <definedName name="ltmi_L">#REF!</definedName>
    <definedName name="lykill">#REF!</definedName>
    <definedName name="lyklar">#REF!</definedName>
    <definedName name="lyklar_líf">#REF!</definedName>
    <definedName name="lyklar_skaða">#REF!</definedName>
    <definedName name="_xlnm.Print_Area" localSheetId="0">'2.1 Stafróf'!$A$1:$D$48</definedName>
    <definedName name="_xlnm.Print_Area" localSheetId="1">'2.2 Listi'!$A$1:$I$55</definedName>
    <definedName name="_xlnm.Print_Area" localSheetId="2">'2.3 Kerfi'!$A$1:$J$55</definedName>
    <definedName name="_xlnm.Print_Area" localSheetId="3">'3.1 Yfirlit'!$A$1:$AS$63</definedName>
    <definedName name="_xlnm.Print_Area" localSheetId="4">'3.2 Efnah.'!$A$1:$AS$59</definedName>
    <definedName name="_xlnm.Print_Area" localSheetId="5">'3.3 Sjóðs. '!$A$1:$AS$42</definedName>
    <definedName name="_xlnm.Print_Area" localSheetId="6">'4.1. Samtryggingard.'!$A$1:$BC$159</definedName>
    <definedName name="_xlnm.Print_Area" localSheetId="7">'4.2 Kennitölur (samtr)'!$A$1:$BC$59</definedName>
    <definedName name="_xlnm.Print_Area" localSheetId="8">'5.1. Séreignard.'!$A$1:$AV$161</definedName>
    <definedName name="_xlnm.Print_Area" localSheetId="9">'5.2 Kennitölur (séreign)'!$A$1:$AV$55</definedName>
    <definedName name="_xlnm.Print_Area" localSheetId="10">'6.1 Sundurliðun'!$A$1:$CR$38</definedName>
    <definedName name="_xlnm.Print_Area" localSheetId="11">'7.1 Séreign þróun'!$A$1:$G$34</definedName>
    <definedName name="_xlnm.Print_Titles" localSheetId="3">'3.1 Yfirlit'!$A:$A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</definedName>
    <definedName name="_xlnm.Print_Titles" localSheetId="7">'4.2 Kennitölur (samtr)'!$A:$B</definedName>
    <definedName name="_xlnm.Print_Titles" localSheetId="8">'5.1. Séreignard.'!$A:$B</definedName>
    <definedName name="_xlnm.Print_Titles" localSheetId="9">'5.2 Kennitölur (séreign)'!$A:$B</definedName>
    <definedName name="_xlnm.Print_Titles" localSheetId="10">'6.1 Sundurliðun'!$A:$B</definedName>
    <definedName name="reikningsár">#REF!</definedName>
    <definedName name="salt_L">#REF!</definedName>
    <definedName name="samtals_gögn">#REF!</definedName>
    <definedName name="sjat_L">#REF!</definedName>
    <definedName name="skaða_lyklar">#REF!</definedName>
    <definedName name="sql_lyklar">#REF!</definedName>
    <definedName name="trms_L">#REF!</definedName>
    <definedName name="trng_L">#REF!</definedName>
    <definedName name="vais_L">#REF!</definedName>
    <definedName name="veis_L">#REF!</definedName>
    <definedName name="vete_L">#REF!</definedName>
    <definedName name="vltr_L">#REF!</definedName>
    <definedName name="vltr_lyklar">#REF!</definedName>
    <definedName name="voit_L">#REF!</definedName>
  </definedNames>
  <calcPr fullCalcOnLoad="1"/>
</workbook>
</file>

<file path=xl/sharedStrings.xml><?xml version="1.0" encoding="utf-8"?>
<sst xmlns="http://schemas.openxmlformats.org/spreadsheetml/2006/main" count="2120" uniqueCount="615">
  <si>
    <t>Sameinaði lífeyrissjóðurinn</t>
  </si>
  <si>
    <t>Frjálsi lífeyris-sjóðurinn</t>
  </si>
  <si>
    <t>Söfnunarsj. lífeyris-réttinda</t>
  </si>
  <si>
    <t>Lífeyrissjóður bankamanna</t>
  </si>
  <si>
    <t>Eftirlaunasj. Reykjanes-bæjar</t>
  </si>
  <si>
    <t>Eftirlaunasj. Sláturfélags Suðurlands</t>
  </si>
  <si>
    <t>Lífeyris-sjóðurinn Skjöldur</t>
  </si>
  <si>
    <t>Lífeyrissj.</t>
  </si>
  <si>
    <t>Fjárhæðir í þús. kr.</t>
  </si>
  <si>
    <t>LÍFEYRISSJ.</t>
  </si>
  <si>
    <t>með ábyrgð</t>
  </si>
  <si>
    <t>án ábyrgðar</t>
  </si>
  <si>
    <t xml:space="preserve">SAMTALS  </t>
  </si>
  <si>
    <t>annarra</t>
  </si>
  <si>
    <t>B-deild</t>
  </si>
  <si>
    <t>A-deild</t>
  </si>
  <si>
    <t>Stigadeild</t>
  </si>
  <si>
    <t>V-deild</t>
  </si>
  <si>
    <t>Deild I</t>
  </si>
  <si>
    <t>Deild II</t>
  </si>
  <si>
    <t>HefurBakábyrgð</t>
  </si>
  <si>
    <t>Nei</t>
  </si>
  <si>
    <t>Já</t>
  </si>
  <si>
    <t>Almenni lífeyrissjóðurinn</t>
  </si>
  <si>
    <t>Festa lífeyrissjóður</t>
  </si>
  <si>
    <t>Gildi lífeyrissjóður</t>
  </si>
  <si>
    <t>Íslenski lífeyrissjóðurinn</t>
  </si>
  <si>
    <t>Lífeyrissjóður Austurlands</t>
  </si>
  <si>
    <t>Lífeyrissjóður bænda</t>
  </si>
  <si>
    <t>Lífeyrissjóður Norðurlands</t>
  </si>
  <si>
    <t>Lífeyrissjóður Rangæinga</t>
  </si>
  <si>
    <t>Lífeyrissjóður verkfræðinga</t>
  </si>
  <si>
    <t>Lífeyrissjóður Vestfirðinga</t>
  </si>
  <si>
    <t>Stafir lífeyrissjóður</t>
  </si>
  <si>
    <t>Eftirlaunadeild</t>
  </si>
  <si>
    <t>Lífeyrisdeild</t>
  </si>
  <si>
    <t>Tryggingadeild</t>
  </si>
  <si>
    <t>Samtryggingardeild</t>
  </si>
  <si>
    <t>Tryggingardeild</t>
  </si>
  <si>
    <t>Hlutfallsdeild</t>
  </si>
  <si>
    <t>Yfirlit um breytingu á hreinni</t>
  </si>
  <si>
    <t>eign til 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</si>
  <si>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</si>
  <si>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</si>
  <si>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</si>
  <si>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</si>
  <si>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</si>
  <si>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</si>
  <si>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</si>
  <si>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</si>
  <si>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</si>
  <si>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</si>
  <si>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</si>
  <si>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</si>
  <si>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</si>
  <si>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</si>
  <si>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</si>
  <si>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</si>
  <si>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</si>
  <si>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</si>
  <si>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</si>
  <si>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</si>
  <si>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</si>
  <si>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</si>
  <si>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</si>
  <si>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</si>
  <si>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</si>
  <si>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</si>
  <si>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</si>
  <si>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</si>
  <si>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</si>
  <si>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Fjárfestingargjöld    </t>
  </si>
  <si>
    <t xml:space="preserve">Rekstrarkostnaður    </t>
  </si>
  <si>
    <t xml:space="preserve">    Annar rekstrarkostnaður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</si>
  <si>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</si>
  <si>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</si>
  <si>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</si>
  <si>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</si>
  <si>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</si>
  <si>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</si>
  <si>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>Matsbreytingar</t>
  </si>
  <si>
    <t>Hækkun á hreinni eign á árinu</t>
  </si>
  <si>
    <t>Hrein eign frá fyrra ári</t>
  </si>
  <si>
    <t>Hrein eign í árslok</t>
  </si>
  <si>
    <t>Efnahagsreikningur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</si>
  <si>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</si>
  <si>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</si>
  <si>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</si>
  <si>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</si>
  <si>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</si>
  <si>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</si>
  <si>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</si>
  <si>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</si>
  <si>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</si>
  <si>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</si>
  <si>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</si>
  <si>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</si>
  <si>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</si>
  <si>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</si>
  <si>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</si>
  <si>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</si>
  <si>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</si>
  <si>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</si>
  <si>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</si>
  <si>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</si>
  <si>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</si>
  <si>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</si>
  <si>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</si>
  <si>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</si>
  <si>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</si>
  <si>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</si>
  <si>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</si>
  <si>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Fyrirfr.gr.kostn.og áfallnar tekjur</t>
  </si>
  <si>
    <t>Eignir samtals</t>
  </si>
  <si>
    <t>Skuldir</t>
  </si>
  <si>
    <t>Skuldbindingar</t>
  </si>
  <si>
    <t xml:space="preserve">   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</si>
  <si>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</si>
  <si>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</si>
  <si>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</si>
  <si>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</si>
  <si>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</si>
  <si>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>Áfallinn kostn. og f.fr.innh.tekjur</t>
  </si>
  <si>
    <t>Skuldir samtals</t>
  </si>
  <si>
    <t>Sjóðstreymi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</si>
  <si>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</si>
  <si>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</si>
  <si>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</si>
  <si>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</si>
  <si>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</si>
  <si>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</si>
  <si>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</si>
  <si>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</si>
  <si>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</si>
  <si>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</si>
  <si>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</si>
  <si>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</si>
  <si>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</si>
  <si>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</si>
  <si>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</si>
  <si>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</si>
  <si>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</si>
  <si>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</si>
  <si>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</si>
  <si>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</si>
  <si>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</si>
  <si>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</si>
  <si>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</si>
  <si>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</si>
  <si>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</si>
  <si>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</si>
  <si>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</si>
  <si>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</si>
  <si>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</si>
  <si>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</si>
  <si>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</si>
  <si>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Afstemming</t>
  </si>
  <si>
    <t>Hrein eign</t>
  </si>
  <si>
    <t>Sjóður</t>
  </si>
  <si>
    <t>Eftirlaunasj. FÍA</t>
  </si>
  <si>
    <t>Eftirlaunasj. stm. Hafnarfjarðark.</t>
  </si>
  <si>
    <t>Eftirlaunasj. stm. 
OLÍS</t>
  </si>
  <si>
    <t>Eftirlaunasj. stm. 
Útvegsb. Ísl.</t>
  </si>
  <si>
    <t>Lífeyrissjóður Akranes-kaupstaðar</t>
  </si>
  <si>
    <t>Lífeyrissjóður Flugvirkjafél. Íslands</t>
  </si>
  <si>
    <t>Lífeyrissjóður hjúkrunar-fræðinga</t>
  </si>
  <si>
    <t xml:space="preserve">Lífeyrissjóður Mjólkur-samsölunnar               </t>
  </si>
  <si>
    <t>Lífeyrissjóður stm. Áburðarverksm.</t>
  </si>
  <si>
    <t>Lífeyrissjóður stm. Akureyrarb.</t>
  </si>
  <si>
    <t>Lífeyrissjóður stm. Húsavíkurk.</t>
  </si>
  <si>
    <t>Lífeyrissjóður stm. Búnaðarb. Ísl.</t>
  </si>
  <si>
    <t>Lífeyrissjóður stm. Kópavogsb.</t>
  </si>
  <si>
    <t>Lífeyrissjóður stm. Reykjavíkurb.</t>
  </si>
  <si>
    <t xml:space="preserve">Lífeyrissjóður stm. ríkisins </t>
  </si>
  <si>
    <t>Lífeyrissjóður stm. Vestm.eyjab.</t>
  </si>
  <si>
    <t>Lífeyrissjóður Tannlæknafél. Íslands</t>
  </si>
  <si>
    <t>Lífeyrissjóður verslunar-manna</t>
  </si>
  <si>
    <t>Aldurstengd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</si>
  <si>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</si>
  <si>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</si>
  <si>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</si>
  <si>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</si>
  <si>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</si>
  <si>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</si>
  <si>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</si>
  <si>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</si>
  <si>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</si>
  <si>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</si>
  <si>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</si>
  <si>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</si>
  <si>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</si>
  <si>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>Ellilífeyrir  (%)</t>
  </si>
  <si>
    <t>Örorkulífeyrir  (%)</t>
  </si>
  <si>
    <t>Makalífeyrir  (%)</t>
  </si>
  <si>
    <t>Barnalífeyrir  (%)</t>
  </si>
  <si>
    <t xml:space="preserve">Annar lífeyrir (%)                                  </t>
  </si>
  <si>
    <t xml:space="preserve">         Samtals: </t>
  </si>
  <si>
    <t>Meðalfjöldi starfsmanna</t>
  </si>
  <si>
    <t>Hrein eign umfram heildarskuldb. (%)</t>
  </si>
  <si>
    <t>Hrein eign umfram áfallnar skuldb. (%)</t>
  </si>
  <si>
    <t>Ýmsar athugasemdir:</t>
  </si>
  <si>
    <t>Skýringar á kennitölum:</t>
  </si>
  <si>
    <t>Reikna daglegt</t>
  </si>
  <si>
    <t xml:space="preserve"> 1.  Hrein raunávöxtun miðað við vísitölu neysluverðs (6,95% hækkun á árinu 2006)</t>
  </si>
  <si>
    <t>gengi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</si>
  <si>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</si>
  <si>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</si>
  <si>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</si>
  <si>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</si>
  <si>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2006.</t>
  </si>
  <si>
    <t xml:space="preserve"> 6.  Meðaltal fjölda lífeyrisþega sem fékk greiddan lífeyri á árinu 2006.</t>
  </si>
  <si>
    <t xml:space="preserve"> 7.  Með öðrum lífeyri er átt við lífeyri sem erfist.</t>
  </si>
  <si>
    <t xml:space="preserve"> 8.  Meðalfjöldi starfsmanna á árinu 2006.</t>
  </si>
  <si>
    <t xml:space="preserve"> 9.  Lífeyrir sem hlutfall af iðgjöldum</t>
  </si>
  <si>
    <t xml:space="preserve"> 10.  Fjárhagsleg staða sjóðsins skv. tryggingafræðilegri úttekt m.v. 31.12.2006. </t>
  </si>
  <si>
    <t xml:space="preserve">      ((Eignir  +  núvirði framtíðariðgj.)  - heildarskuldbinding) / heildarskuldbinding.</t>
  </si>
  <si>
    <t xml:space="preserve">11. Fjárhagsleg staða sjóðsins skv. tryggingafræðilegri úttekt m.v. 31.12.2006. </t>
  </si>
  <si>
    <t xml:space="preserve">      (Eignir - áfallin skuldbinding) / áfallin skuldbinding.</t>
  </si>
  <si>
    <t>Útreikningur á kennitölum:</t>
  </si>
  <si>
    <t>Fjárfestingatekjur nettó (F)</t>
  </si>
  <si>
    <t>Rekstrarkostnaður  nettó (K)</t>
  </si>
  <si>
    <t>Meðalstaða eigna við útreikn.</t>
  </si>
  <si>
    <t xml:space="preserve"> á ávöxtun (A+B-(F-K))</t>
  </si>
  <si>
    <t>i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</si>
  <si>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</si>
  <si>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</si>
  <si>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</si>
  <si>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</si>
  <si>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</si>
  <si>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</si>
  <si>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</si>
  <si>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</si>
  <si>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</si>
  <si>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Skipting eftir gjaldm.</t>
  </si>
  <si>
    <t>Eftirlaunasj. stm. Glitnis banka hf.</t>
  </si>
  <si>
    <t>Frjálsi 
lífeyris-sjóðurinn</t>
  </si>
  <si>
    <t>Íslenski
lífeyris-sjóðurinn</t>
  </si>
  <si>
    <t>Lífeyrissj.  Eimskipafél. Ísl.</t>
  </si>
  <si>
    <t>Lífeyrissj. Eimskipaf. Ísl.</t>
  </si>
  <si>
    <t>Lífeyrissjóður Flugvirkjaf. Íslands</t>
  </si>
  <si>
    <t>Lífeyrissjóður Nes-kaupstaðar</t>
  </si>
  <si>
    <t>Lífeyrissjóður stm. 
Búnaðarb. Ísl.</t>
  </si>
  <si>
    <t>Lífeyrissjóður stm. sveitarfél.</t>
  </si>
  <si>
    <t>Lífeyrissj. stm. sveitarfél.</t>
  </si>
  <si>
    <t>Lífeyrissjóður Vestmanna-eyja</t>
  </si>
  <si>
    <t>Lífeyrisbyrði (%)</t>
  </si>
  <si>
    <t>-</t>
  </si>
  <si>
    <t>Reikna daglegt gengi</t>
  </si>
  <si>
    <t>Hein eign í árslok (B)</t>
  </si>
  <si>
    <t>Hrein eign í ársbyrjun (A)</t>
  </si>
  <si>
    <t xml:space="preserve">Hækkun vísit. neysluv. 2006 (VNV)          </t>
  </si>
  <si>
    <t>*</t>
  </si>
  <si>
    <t>* Stofnuð 2006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</si>
  <si>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</si>
  <si>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</si>
  <si>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</si>
  <si>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</si>
  <si>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</si>
  <si>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</si>
  <si>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Aðrar fjárfestingar</t>
  </si>
  <si>
    <t>Eignir í ísl. kr. í þús.kr</t>
  </si>
  <si>
    <t>Eignir í erl. gjaldmiðlum í þús.kr</t>
  </si>
  <si>
    <t>Frjálsi lífeyrissjóðurinn</t>
  </si>
  <si>
    <t xml:space="preserve">Lífeyrissjóður starfsmanna ríkisins </t>
  </si>
  <si>
    <t>Lífeyrissjóður starfsmanna sveitarfélaga</t>
  </si>
  <si>
    <t>Lífeyrissjóður Vestmannaeyja</t>
  </si>
  <si>
    <t>ALLAR DEILDIR SAMTALS</t>
  </si>
  <si>
    <t>Ævisafn I</t>
  </si>
  <si>
    <t>Ævisafn II</t>
  </si>
  <si>
    <t>Ævisafn III</t>
  </si>
  <si>
    <t>Ævisafn IV</t>
  </si>
  <si>
    <t>Deild/leið I</t>
  </si>
  <si>
    <t>Deild/leið II</t>
  </si>
  <si>
    <t>Deild/leið III</t>
  </si>
  <si>
    <t>Framsýn 1</t>
  </si>
  <si>
    <t>Framsýn 2</t>
  </si>
  <si>
    <t>Framsýn 3</t>
  </si>
  <si>
    <t>Líf 1</t>
  </si>
  <si>
    <t>Líf 2</t>
  </si>
  <si>
    <t>Líf 3</t>
  </si>
  <si>
    <t>Líf 4</t>
  </si>
  <si>
    <t>Safn I</t>
  </si>
  <si>
    <t>Safn II</t>
  </si>
  <si>
    <t>Leið I</t>
  </si>
  <si>
    <t>Leið II</t>
  </si>
  <si>
    <t>Leið III</t>
  </si>
  <si>
    <t>Deild I/Séreign</t>
  </si>
  <si>
    <t>Aldursleið 1</t>
  </si>
  <si>
    <t>Aldursleið 2</t>
  </si>
  <si>
    <t>Aldursleið 3</t>
  </si>
  <si>
    <t>Aldursleið 4</t>
  </si>
  <si>
    <t>Aldursleið 5</t>
  </si>
  <si>
    <t>Leið 1</t>
  </si>
  <si>
    <t>Leið 2</t>
  </si>
  <si>
    <t>Leið IV</t>
  </si>
  <si>
    <t>Leið V</t>
  </si>
  <si>
    <t xml:space="preserve">Yfirlit um breytingu á hreinni </t>
  </si>
  <si>
    <t>Hrein eign til greiðslu lífeyris</t>
  </si>
  <si>
    <t xml:space="preserve">   Óefnislegar eignir</t>
  </si>
  <si>
    <t>Afstemming yfirlits og efnahags</t>
  </si>
  <si>
    <t>Afstemming efnahags og sjóðstreymis</t>
  </si>
  <si>
    <r>
      <t xml:space="preserve">   </t>
    </r>
    <r>
      <rPr>
        <b/>
        <sz val="8"/>
        <rFont val="Times New Roman"/>
        <family val="1"/>
      </rPr>
      <t>Viðskiptaskuldir</t>
    </r>
  </si>
  <si>
    <t xml:space="preserve">          Samtals:                                      </t>
  </si>
  <si>
    <t>* Vegið meðaltal ávöxtunar sameinaðra sjóða</t>
  </si>
  <si>
    <t>* Stofnaðar 1/7/2002</t>
  </si>
  <si>
    <t xml:space="preserve">*Stofnuð í árslok </t>
  </si>
  <si>
    <t xml:space="preserve">*Stofnuð í </t>
  </si>
  <si>
    <t>árslok 2004</t>
  </si>
  <si>
    <t>daglegt gengi</t>
  </si>
  <si>
    <t>Reikna</t>
  </si>
  <si>
    <t>áranna 2002 - 2004</t>
  </si>
  <si>
    <t>*10</t>
  </si>
  <si>
    <t>*9,4</t>
  </si>
  <si>
    <t>*5,5</t>
  </si>
  <si>
    <t>*8,7</t>
  </si>
  <si>
    <t>Reikna dagl.gengi</t>
  </si>
  <si>
    <t xml:space="preserve">Lífeyrisbyrði (%)                               </t>
  </si>
  <si>
    <t>Kenni</t>
  </si>
  <si>
    <t>Almenni_Ser1</t>
  </si>
  <si>
    <t>Almenni_Ser2</t>
  </si>
  <si>
    <t>Almenni_Ser3</t>
  </si>
  <si>
    <t>Almenni_Ser4</t>
  </si>
  <si>
    <t>Festa_Ser1</t>
  </si>
  <si>
    <t>Frjalsi_Ser1</t>
  </si>
  <si>
    <t>Frjalsi_Ser2</t>
  </si>
  <si>
    <t>Frjalsi_Ser3</t>
  </si>
  <si>
    <t>Gildi_Ser1</t>
  </si>
  <si>
    <t>Gildi_Ser2</t>
  </si>
  <si>
    <t>Gildi_Ser3</t>
  </si>
  <si>
    <t>IL_Ser1</t>
  </si>
  <si>
    <t>IL_Ser2</t>
  </si>
  <si>
    <t>IL_Ser3</t>
  </si>
  <si>
    <t>IL_Ser4</t>
  </si>
  <si>
    <t>LAust_Ser1</t>
  </si>
  <si>
    <t>LNordurl_Ser1</t>
  </si>
  <si>
    <t>LNordurl_Ser2</t>
  </si>
  <si>
    <t>LSR_Ser1</t>
  </si>
  <si>
    <t>LSR_Ser2</t>
  </si>
  <si>
    <t>LSR_Ser3</t>
  </si>
  <si>
    <t>LSS_Ser1</t>
  </si>
  <si>
    <t>LSS_Ser3</t>
  </si>
  <si>
    <t>LTann_Ser1</t>
  </si>
  <si>
    <t>LVerk_Ser1</t>
  </si>
  <si>
    <t>LVerk_Ser2</t>
  </si>
  <si>
    <t>LVersl_Ser1</t>
  </si>
  <si>
    <t>LVestf_Ser1</t>
  </si>
  <si>
    <t>LVestm_Ser1</t>
  </si>
  <si>
    <t>LVestm_Ser2</t>
  </si>
  <si>
    <t>SamLif_Ser3</t>
  </si>
  <si>
    <t>SamLif_Ser4</t>
  </si>
  <si>
    <t>SamLif_Ser5</t>
  </si>
  <si>
    <t>SamLif_Ser6</t>
  </si>
  <si>
    <t>SamLif_Ser7</t>
  </si>
  <si>
    <t>SamLif_Ser1</t>
  </si>
  <si>
    <t>SamLif_Ser2</t>
  </si>
  <si>
    <t>SL_Ser1</t>
  </si>
  <si>
    <t>Stafir_Ser1</t>
  </si>
  <si>
    <t>Stafir_Ser2</t>
  </si>
  <si>
    <t>Stafir_Ser3</t>
  </si>
  <si>
    <t>Stafir_Ser4</t>
  </si>
  <si>
    <t>Stafir_Ser5</t>
  </si>
  <si>
    <t>Almenni_Sam4</t>
  </si>
  <si>
    <t>Almenni_Sam3</t>
  </si>
  <si>
    <t>Almenni_Sam2</t>
  </si>
  <si>
    <t>EFIA_Sam1</t>
  </si>
  <si>
    <t>ER_Sam1</t>
  </si>
  <si>
    <t>ESS_Sam1</t>
  </si>
  <si>
    <t>ESÍ_Sam1</t>
  </si>
  <si>
    <t>ESH_Sam1</t>
  </si>
  <si>
    <t>ESOLIS_Sam1</t>
  </si>
  <si>
    <t>ESUI_Sam1</t>
  </si>
  <si>
    <t>Festa_Sam1</t>
  </si>
  <si>
    <t>Frjalsi_Sam1</t>
  </si>
  <si>
    <t>Gildi_Sam1</t>
  </si>
  <si>
    <t>IL_Sam1</t>
  </si>
  <si>
    <t>LAkr_Sam1</t>
  </si>
  <si>
    <t>LAust_Sam2</t>
  </si>
  <si>
    <t>LBaenda_Sam2</t>
  </si>
  <si>
    <t>LBank_Sam1</t>
  </si>
  <si>
    <t>LBank_Sam2</t>
  </si>
  <si>
    <t>LEimskip_Sam1</t>
  </si>
  <si>
    <t>LEimskip_Sam2</t>
  </si>
  <si>
    <t>LFI_Sam1</t>
  </si>
  <si>
    <t>LH_Sam1</t>
  </si>
  <si>
    <t>LMS_Sam1</t>
  </si>
  <si>
    <t>LNes_Sam1</t>
  </si>
  <si>
    <t>LNordurl_Sam1</t>
  </si>
  <si>
    <t>LRang_Sam1</t>
  </si>
  <si>
    <t>LSAbv_sam1</t>
  </si>
  <si>
    <t>LSAk_Sam1</t>
  </si>
  <si>
    <t>LSBI_Sam1</t>
  </si>
  <si>
    <t>LSK_Sam1</t>
  </si>
  <si>
    <t>LSRb_Sam1</t>
  </si>
  <si>
    <t>LSR_Sam2</t>
  </si>
  <si>
    <t>LSR_Sam1</t>
  </si>
  <si>
    <t>LSS_Sam1</t>
  </si>
  <si>
    <t>LSS_Sam2</t>
  </si>
  <si>
    <t>LSVestm_Sam1</t>
  </si>
  <si>
    <t>LTann_Sam1</t>
  </si>
  <si>
    <t>LVerk_Sam1</t>
  </si>
  <si>
    <t>LVersl_Sam2</t>
  </si>
  <si>
    <t>LVestf_Sam3</t>
  </si>
  <si>
    <t>LVestm_Sam2</t>
  </si>
  <si>
    <t>LSkjoldur_Sam1</t>
  </si>
  <si>
    <t>SamLif_Sam2</t>
  </si>
  <si>
    <t>SamLif_Sam1</t>
  </si>
  <si>
    <t>SL_Sam2</t>
  </si>
  <si>
    <t>Stafir_Sam1</t>
  </si>
  <si>
    <t>Sameinaði lífeyris-sjóðurinn</t>
  </si>
  <si>
    <t>Almenni lífeyris-sjóðurinn</t>
  </si>
  <si>
    <t>Íslenski lífeyris-sjóðurinn</t>
  </si>
  <si>
    <t xml:space="preserve">ALLIR   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</si>
  <si>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</si>
  <si>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</si>
  <si>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</si>
  <si>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</si>
  <si>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</si>
  <si>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>HREIN EIGN Í ÁRSLOK</t>
  </si>
  <si>
    <t>TIL GREIÐSLU LÍFEYRIS</t>
  </si>
  <si>
    <t>Eftirlaunasj. stm. 
Glitnis banka</t>
  </si>
  <si>
    <t>Eftirlaunasj. stm. 
Útvegsb.  Ísl.</t>
  </si>
  <si>
    <t>Lífeyrissjóður Eimskipafél. Íslands</t>
  </si>
  <si>
    <t xml:space="preserve">Lífeyrissjóður Mjólkur-samsölunnar              </t>
  </si>
  <si>
    <t>Lífeyrissjóður stm. Áburðarverks</t>
  </si>
  <si>
    <t xml:space="preserve">Lífeyrissjóður stm. Búnaðarb. Ísl. </t>
  </si>
  <si>
    <t>Lífeyrissjóður stm. 
ríkisins</t>
  </si>
  <si>
    <t>Lífeyrissjóður verk-
fræðinga</t>
  </si>
  <si>
    <t>Allir lífeyrissjóðir samtals</t>
  </si>
  <si>
    <t>Samtryggingardeildir</t>
  </si>
  <si>
    <t xml:space="preserve">Séreign </t>
  </si>
  <si>
    <t xml:space="preserve">Hrein eign </t>
  </si>
  <si>
    <t xml:space="preserve">Stigakerfi </t>
  </si>
  <si>
    <t>Hlutfalls-</t>
  </si>
  <si>
    <t>Aldursháð-</t>
  </si>
  <si>
    <t>Blandað-</t>
  </si>
  <si>
    <t xml:space="preserve"> 31.12.2006</t>
  </si>
  <si>
    <t xml:space="preserve">kerfi </t>
  </si>
  <si>
    <t>kerfi</t>
  </si>
  <si>
    <t>Lífeyrissjóður starfsmanna ríkisins</t>
  </si>
  <si>
    <t>Lífeyrissjóður verslunarmanna</t>
  </si>
  <si>
    <t>Lífeyrissjóður hjúkrunarfræðinga</t>
  </si>
  <si>
    <t>Lífeyrissjóður Akraneskaupstaðar</t>
  </si>
  <si>
    <t>Lífeyrissjóðurinn Skjöldur</t>
  </si>
  <si>
    <t>Lífeyrissjóður Neskaupstaðar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</si>
  <si>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</si>
  <si>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</si>
  <si>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</si>
  <si>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</si>
  <si>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</si>
  <si>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Eftirlaunasj. stm. OLÍS</t>
  </si>
  <si>
    <t>Eftirlaunasj. stm. Glitnis banka</t>
  </si>
  <si>
    <t>Eftirlaunasj. stm. Útvegsb.  Ísl.</t>
  </si>
  <si>
    <t>Söfnunarsj. lífeyrisréttinda</t>
  </si>
  <si>
    <t>Lífeyrissjóður stm. ríkisins</t>
  </si>
  <si>
    <t xml:space="preserve">Lífeyrissjóður Mjólkursamsölunnar              </t>
  </si>
  <si>
    <t>Eftirlaunasj. Reykjanesbæjar</t>
  </si>
  <si>
    <t>Kerfi</t>
  </si>
  <si>
    <t>Aldursháð</t>
  </si>
  <si>
    <t>Stiga</t>
  </si>
  <si>
    <t>Hlutfalls</t>
  </si>
  <si>
    <t>Blandað</t>
  </si>
  <si>
    <t>Aukning</t>
  </si>
  <si>
    <t xml:space="preserve"> 31.12.2005</t>
  </si>
  <si>
    <t>árið 2006</t>
  </si>
  <si>
    <t>þús.kr.</t>
  </si>
  <si>
    <t>%</t>
  </si>
  <si>
    <t>1)  5)</t>
  </si>
  <si>
    <t/>
  </si>
  <si>
    <t>3)</t>
  </si>
  <si>
    <t>1)</t>
  </si>
  <si>
    <t>5)</t>
  </si>
  <si>
    <t>1)  2)</t>
  </si>
  <si>
    <t>2)  4)</t>
  </si>
  <si>
    <t>2)</t>
  </si>
  <si>
    <t>Samtals:</t>
  </si>
  <si>
    <t>Skýringar:</t>
  </si>
  <si>
    <t xml:space="preserve">1) Ábyrgð annarra á skuldbindingum.  2) Tekur ekki við iðgjöldum. </t>
  </si>
  <si>
    <t xml:space="preserve">4) Ábyrgð á skuldbindingum deildar II </t>
  </si>
  <si>
    <t>5) Stjórnir sjóðanna ákvarða iðgjald launagreiðanda árlega þannig að það dugi til greiðslu á skuldbindingum A-deilda.</t>
  </si>
  <si>
    <t xml:space="preserve">3) Lífeyrissjóðir sem sameinast viðkomandi sjóði árið 2006 eru meðtaldir í árslok.  </t>
  </si>
  <si>
    <t>Eftirfarandi yfirlit sýnir starfandi lífeyrissjóði í árslok 2006 í stafrófsröð.</t>
  </si>
  <si>
    <t xml:space="preserve">Fjöldi </t>
  </si>
  <si>
    <t xml:space="preserve">Númer í </t>
  </si>
  <si>
    <t>Nafn</t>
  </si>
  <si>
    <t>deilda</t>
  </si>
  <si>
    <t>stærðarröð</t>
  </si>
  <si>
    <t>Lífeyrissjóður stm. sveitarfélaga</t>
  </si>
  <si>
    <t>Lífeyrissjóður  stm. sveitarfélaga</t>
  </si>
  <si>
    <t xml:space="preserve">EIGNIR </t>
  </si>
  <si>
    <t xml:space="preserve">EIGNIR SAMTALS      </t>
  </si>
  <si>
    <t>SKULDIR</t>
  </si>
  <si>
    <t xml:space="preserve">   Áfallinn kostn. og f.fr.innh.tekjur</t>
  </si>
  <si>
    <t xml:space="preserve">HREIN EIGN TIL </t>
  </si>
  <si>
    <t>GREIÐSLU LÍFEYRIS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</si>
  <si>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</si>
  <si>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  </t>
    </r>
    <r>
      <rPr>
        <b/>
        <sz val="8"/>
        <rFont val="Times New Roman"/>
        <family val="1"/>
      </rPr>
      <t>Skuldbindingar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</si>
  <si>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</si>
  <si>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Eftirlaunasj. Sláturfélags  Suðurlands</t>
  </si>
  <si>
    <t>Lífeyrissjóður Eimskipaf. Íslands</t>
  </si>
  <si>
    <t>Lífeyrissjóður Mjólkur-samsölunnar</t>
  </si>
  <si>
    <t>Lífeyrissjóður stm. Búnaðarb.Ísl.</t>
  </si>
  <si>
    <t>Lífeyrissjóður Tannlæknaf.  Íslands</t>
  </si>
  <si>
    <t>Afstemmt</t>
  </si>
  <si>
    <t>Lífeyrissjóður Eimskipaf.  Íslands</t>
  </si>
  <si>
    <t>Lífeyrissjóður Flugvirkjaf.  Íslands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</si>
  <si>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</si>
  <si>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</si>
  <si>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</si>
  <si>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</si>
  <si>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</si>
  <si>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</si>
  <si>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</si>
  <si>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</si>
  <si>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</si>
  <si>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</si>
  <si>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</si>
  <si>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</si>
  <si>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</si>
  <si>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</si>
  <si>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</si>
  <si>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Eftirlaunasj.  FÍA</t>
  </si>
  <si>
    <t xml:space="preserve">Eftirlaunasj. stm. 
Glitnis banka </t>
  </si>
  <si>
    <t>Lífeyrissj. Tannlæknafél. Ísl.</t>
  </si>
  <si>
    <t>Lífeyrissj.  verslunarmanna</t>
  </si>
  <si>
    <t>Óskráð verðbréf</t>
  </si>
  <si>
    <t>Gengisbundnar fjárfestingar</t>
  </si>
  <si>
    <t>Eign</t>
  </si>
  <si>
    <t>Aðrir lífeyrissjóðir</t>
  </si>
  <si>
    <t xml:space="preserve">    Séreign til viðbótartryggingarverndar*</t>
  </si>
  <si>
    <t>31.12.2005</t>
  </si>
  <si>
    <t>31.12.2004</t>
  </si>
  <si>
    <t>31.12.2003</t>
  </si>
  <si>
    <t>31.12.2002</t>
  </si>
  <si>
    <t>31.12.2001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</si>
  <si>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</si>
  <si>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</si>
  <si>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</si>
  <si>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</si>
  <si>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</si>
  <si>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</si>
  <si>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31.12.2006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</si>
  <si>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</si>
  <si>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</si>
  <si>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r>
      <t>.</t>
    </r>
    <r>
      <rPr>
        <b/>
        <vertAlign val="superscript"/>
        <sz val="8"/>
        <rFont val="Times New Roman"/>
        <family val="1"/>
      </rPr>
      <t>(2)</t>
    </r>
  </si>
  <si>
    <t>(1)</t>
  </si>
  <si>
    <t>(5)</t>
  </si>
  <si>
    <t>(20)</t>
  </si>
  <si>
    <t>(33)</t>
  </si>
  <si>
    <t>(35)</t>
  </si>
  <si>
    <t>(23)</t>
  </si>
  <si>
    <t>(30)</t>
  </si>
  <si>
    <t>(34)</t>
  </si>
  <si>
    <t>(41)</t>
  </si>
  <si>
    <t>(10)</t>
  </si>
  <si>
    <t>(7)</t>
  </si>
  <si>
    <t>(3)</t>
  </si>
  <si>
    <t>(16)</t>
  </si>
  <si>
    <t>(32)</t>
  </si>
  <si>
    <t>(12)</t>
  </si>
  <si>
    <t>(19)</t>
  </si>
  <si>
    <t>(11)</t>
  </si>
  <si>
    <t>(25)</t>
  </si>
  <si>
    <t>(26)</t>
  </si>
  <si>
    <t>(17)</t>
  </si>
  <si>
    <t>(31)</t>
  </si>
  <si>
    <t>(39)</t>
  </si>
  <si>
    <t>(8)</t>
  </si>
  <si>
    <t>(24)</t>
  </si>
  <si>
    <t>(36)</t>
  </si>
  <si>
    <t>(29)</t>
  </si>
  <si>
    <t>(22)</t>
  </si>
  <si>
    <t>(38)</t>
  </si>
  <si>
    <t>(28)</t>
  </si>
  <si>
    <t>(21)</t>
  </si>
  <si>
    <t>(15)</t>
  </si>
  <si>
    <t>(40)</t>
  </si>
  <si>
    <t>(27)</t>
  </si>
  <si>
    <t>(13)</t>
  </si>
  <si>
    <t>(2)</t>
  </si>
  <si>
    <t>(14)</t>
  </si>
  <si>
    <t>(18)</t>
  </si>
  <si>
    <t>(37)</t>
  </si>
  <si>
    <t>(4)</t>
  </si>
  <si>
    <t>(9)</t>
  </si>
  <si>
    <t>(6)</t>
  </si>
  <si>
    <t>*6,9</t>
  </si>
  <si>
    <t>*10,2</t>
  </si>
  <si>
    <t>*8,8</t>
  </si>
  <si>
    <t>* Aldursleið 1 og 2 stofnaðar</t>
  </si>
  <si>
    <t>árið 2004</t>
  </si>
  <si>
    <t>*7</t>
  </si>
  <si>
    <t>*6,4</t>
  </si>
  <si>
    <t>*5,3</t>
  </si>
  <si>
    <t>* Aldursleið 3, 4, og 5 stofnaðar árið 2005</t>
  </si>
  <si>
    <t>*6</t>
  </si>
  <si>
    <t xml:space="preserve">* Meðaltal sameinaðra sjóða frá árunum 2002 - 2004. </t>
  </si>
  <si>
    <t>**</t>
  </si>
  <si>
    <t>** Meðaltalsávöxtun sl. 5 ára ekki fyrirliggjandi</t>
  </si>
  <si>
    <t>*5,1</t>
  </si>
  <si>
    <t>*7,1</t>
  </si>
  <si>
    <t>Um er að ræða 41 lífeyrissjóð sem starfaði í 92 deildum.</t>
  </si>
  <si>
    <t>Lífeyrissj. Vestmannaeyja</t>
  </si>
  <si>
    <t>Samtrygging</t>
  </si>
  <si>
    <t>Séreign</t>
  </si>
  <si>
    <t>Tryggingad.</t>
  </si>
  <si>
    <t>Eftirlaunad.</t>
  </si>
  <si>
    <t>Tryggingard.</t>
  </si>
  <si>
    <t>Hlutfallsd.</t>
  </si>
  <si>
    <t xml:space="preserve">    þ.a. gjöld</t>
  </si>
  <si>
    <t xml:space="preserve">Hrein raunávöxtun (%) </t>
  </si>
  <si>
    <t>Meðalávöxtun 2002-2006 (%)</t>
  </si>
  <si>
    <t>Hlutdeildarskírteini og hlutir verðbréfa- og fjárfestingasjóða 
(l. nr. 30/2003)</t>
  </si>
  <si>
    <t>Séreign til lágmarkstryggingarverndar (bundin séreign)</t>
  </si>
  <si>
    <t>Hrein raunávöxtun (%)</t>
  </si>
  <si>
    <t xml:space="preserve">     *Þar af  vegna lágmarksiðgjalds (12%) 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</si>
</sst>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0.000000"/>
    <numFmt numFmtId="193" formatCode="#,##0_ ;[Red]\-#,##0\ 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;\(#,##0\);\-"/>
    <numFmt numFmtId="199" formatCode="##\-####\-#"/>
    <numFmt numFmtId="200" formatCode="#,##0;\-#,##0;\ "/>
    <numFmt numFmtId="201" formatCode="0#\-####\-#"/>
    <numFmt numFmtId="202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sz val="8"/>
      <name val="Courier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0"/>
    </font>
    <font>
      <b/>
      <vertAlign val="superscript"/>
      <sz val="8"/>
      <name val="Times New Roman"/>
      <family val="1"/>
    </font>
    <font>
      <sz val="10"/>
      <name val="Courie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3" fontId="22" fillId="0" borderId="0" xfId="0" applyNumberFormat="1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64" applyFont="1" applyBorder="1">
      <alignment/>
      <protection/>
    </xf>
    <xf numFmtId="0" fontId="28" fillId="0" borderId="0" xfId="64" applyFont="1" applyFill="1" applyBorder="1" applyAlignment="1">
      <alignment horizontal="right" wrapText="1"/>
      <protection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169" fontId="22" fillId="0" borderId="0" xfId="58" applyNumberFormat="1" applyFont="1" applyFill="1" applyBorder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9" fillId="0" borderId="0" xfId="64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8" fillId="0" borderId="0" xfId="61" applyFont="1" applyFill="1" applyBorder="1" applyAlignment="1">
      <alignment horizontal="right" wrapText="1"/>
      <protection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center" vertical="top" wrapText="1"/>
      <protection/>
    </xf>
    <xf numFmtId="165" fontId="22" fillId="0" borderId="0" xfId="68" applyNumberFormat="1" applyFont="1" applyFill="1" applyBorder="1" applyAlignment="1" applyProtection="1">
      <alignment/>
      <protection/>
    </xf>
    <xf numFmtId="165" fontId="22" fillId="0" borderId="0" xfId="68" applyNumberFormat="1" applyFont="1" applyBorder="1" applyAlignment="1">
      <alignment/>
    </xf>
    <xf numFmtId="165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 horizontal="left"/>
      <protection/>
    </xf>
    <xf numFmtId="10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Border="1" applyAlignment="1">
      <alignment/>
    </xf>
    <xf numFmtId="9" fontId="23" fillId="0" borderId="0" xfId="68" applyFont="1" applyFill="1" applyBorder="1" applyAlignment="1" applyProtection="1">
      <alignment/>
      <protection/>
    </xf>
    <xf numFmtId="3" fontId="23" fillId="0" borderId="0" xfId="68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9" fontId="22" fillId="0" borderId="0" xfId="68" applyFont="1" applyBorder="1" applyAlignment="1" applyProtection="1">
      <alignment/>
      <protection locked="0"/>
    </xf>
    <xf numFmtId="170" fontId="22" fillId="0" borderId="0" xfId="0" applyNumberFormat="1" applyFont="1" applyFill="1" applyBorder="1" applyAlignment="1">
      <alignment/>
    </xf>
    <xf numFmtId="9" fontId="22" fillId="0" borderId="0" xfId="68" applyFont="1" applyFill="1" applyBorder="1" applyAlignment="1">
      <alignment/>
    </xf>
    <xf numFmtId="9" fontId="22" fillId="0" borderId="0" xfId="68" applyFont="1" applyFill="1" applyBorder="1" applyAlignment="1" applyProtection="1">
      <alignment wrapText="1"/>
      <protection locked="0"/>
    </xf>
    <xf numFmtId="9" fontId="22" fillId="0" borderId="0" xfId="68" applyFont="1" applyFill="1" applyBorder="1" applyAlignment="1" applyProtection="1">
      <alignment/>
      <protection/>
    </xf>
    <xf numFmtId="9" fontId="22" fillId="0" borderId="0" xfId="68" applyFont="1" applyFill="1" applyBorder="1" applyAlignment="1" applyProtection="1">
      <alignment horizontal="left" wrapText="1"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179" fontId="22" fillId="0" borderId="0" xfId="68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8" fontId="22" fillId="0" borderId="0" xfId="0" applyNumberFormat="1" applyFont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168" fontId="22" fillId="0" borderId="0" xfId="0" applyNumberFormat="1" applyFont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10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0" xfId="60" applyFont="1" applyFill="1" applyBorder="1" applyAlignment="1">
      <alignment horizontal="right" wrapText="1"/>
      <protection/>
    </xf>
    <xf numFmtId="0" fontId="28" fillId="0" borderId="0" xfId="60" applyFont="1" applyBorder="1">
      <alignment/>
      <protection/>
    </xf>
    <xf numFmtId="1" fontId="28" fillId="0" borderId="0" xfId="60" applyNumberFormat="1" applyFont="1" applyBorder="1">
      <alignment/>
      <protection/>
    </xf>
    <xf numFmtId="1" fontId="28" fillId="0" borderId="0" xfId="60" applyNumberFormat="1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168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0" fontId="28" fillId="0" borderId="0" xfId="60" applyFont="1" applyFill="1" applyBorder="1" applyAlignment="1">
      <alignment horizontal="center" wrapText="1"/>
      <protection/>
    </xf>
    <xf numFmtId="168" fontId="22" fillId="0" borderId="0" xfId="0" applyNumberFormat="1" applyFont="1" applyFill="1" applyBorder="1" applyAlignment="1" applyProtection="1">
      <alignment horizontal="right"/>
      <protection locked="0"/>
    </xf>
    <xf numFmtId="10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70" fontId="22" fillId="0" borderId="0" xfId="68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 horizontal="right"/>
      <protection/>
    </xf>
    <xf numFmtId="170" fontId="32" fillId="0" borderId="0" xfId="60" applyNumberFormat="1" applyFont="1" applyFill="1" applyBorder="1" applyAlignment="1">
      <alignment horizontal="right" wrapText="1"/>
      <protection/>
    </xf>
    <xf numFmtId="170" fontId="28" fillId="0" borderId="0" xfId="60" applyNumberFormat="1" applyFont="1" applyFill="1" applyBorder="1" applyAlignment="1">
      <alignment horizontal="right" wrapText="1"/>
      <protection/>
    </xf>
    <xf numFmtId="170" fontId="22" fillId="0" borderId="0" xfId="68" applyNumberFormat="1" applyFont="1" applyBorder="1" applyAlignment="1">
      <alignment/>
    </xf>
    <xf numFmtId="170" fontId="22" fillId="0" borderId="0" xfId="0" applyNumberFormat="1" applyFont="1" applyFill="1" applyBorder="1" applyAlignment="1" applyProtection="1">
      <alignment horizontal="left"/>
      <protection/>
    </xf>
    <xf numFmtId="170" fontId="22" fillId="0" borderId="0" xfId="0" applyNumberFormat="1" applyFont="1" applyBorder="1" applyAlignment="1">
      <alignment/>
    </xf>
    <xf numFmtId="3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" fontId="33" fillId="0" borderId="11" xfId="68" applyNumberFormat="1" applyFont="1" applyBorder="1" applyAlignment="1">
      <alignment/>
    </xf>
    <xf numFmtId="165" fontId="22" fillId="0" borderId="11" xfId="68" applyNumberFormat="1" applyFont="1" applyBorder="1" applyAlignment="1">
      <alignment/>
    </xf>
    <xf numFmtId="3" fontId="33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22" fillId="0" borderId="11" xfId="0" applyNumberFormat="1" applyFont="1" applyFill="1" applyBorder="1" applyAlignment="1" applyProtection="1">
      <alignment horizontal="right"/>
      <protection/>
    </xf>
    <xf numFmtId="170" fontId="22" fillId="0" borderId="11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 horizontal="right"/>
    </xf>
    <xf numFmtId="170" fontId="22" fillId="0" borderId="11" xfId="68" applyNumberFormat="1" applyFont="1" applyFill="1" applyBorder="1" applyAlignment="1" applyProtection="1">
      <alignment horizontal="right"/>
      <protection/>
    </xf>
    <xf numFmtId="3" fontId="23" fillId="0" borderId="11" xfId="0" applyNumberFormat="1" applyFont="1" applyFill="1" applyBorder="1" applyAlignment="1" applyProtection="1">
      <alignment horizontal="left"/>
      <protection/>
    </xf>
    <xf numFmtId="168" fontId="22" fillId="0" borderId="11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Border="1" applyAlignment="1">
      <alignment horizontal="left"/>
    </xf>
    <xf numFmtId="168" fontId="22" fillId="0" borderId="11" xfId="0" applyNumberFormat="1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center"/>
    </xf>
    <xf numFmtId="3" fontId="28" fillId="0" borderId="0" xfId="63" applyNumberFormat="1" applyFont="1" applyFill="1" applyBorder="1" applyAlignment="1">
      <alignment horizontal="right" wrapText="1"/>
      <protection/>
    </xf>
    <xf numFmtId="3" fontId="34" fillId="0" borderId="0" xfId="0" applyNumberFormat="1" applyFont="1" applyFill="1" applyAlignment="1" applyProtection="1">
      <alignment/>
      <protection/>
    </xf>
    <xf numFmtId="3" fontId="28" fillId="0" borderId="0" xfId="63" applyNumberFormat="1" applyFont="1" applyBorder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8" fillId="0" borderId="0" xfId="64" applyNumberFormat="1" applyFont="1" applyFill="1" applyBorder="1" applyAlignment="1">
      <alignment horizontal="center"/>
      <protection/>
    </xf>
    <xf numFmtId="3" fontId="28" fillId="0" borderId="0" xfId="64" applyNumberFormat="1" applyFont="1" applyBorder="1">
      <alignment/>
      <protection/>
    </xf>
    <xf numFmtId="3" fontId="28" fillId="0" borderId="0" xfId="64" applyNumberFormat="1" applyFont="1" applyFill="1" applyBorder="1" applyAlignment="1">
      <alignment horizontal="right" wrapText="1"/>
      <protection/>
    </xf>
    <xf numFmtId="3" fontId="22" fillId="0" borderId="0" xfId="68" applyNumberFormat="1" applyFont="1" applyFill="1" applyBorder="1" applyAlignment="1">
      <alignment/>
    </xf>
    <xf numFmtId="3" fontId="28" fillId="0" borderId="0" xfId="65" applyNumberFormat="1" applyFont="1" applyFill="1" applyBorder="1" applyAlignment="1">
      <alignment horizontal="center"/>
      <protection/>
    </xf>
    <xf numFmtId="3" fontId="28" fillId="0" borderId="0" xfId="65" applyNumberFormat="1" applyFont="1" applyFill="1" applyBorder="1" applyAlignment="1">
      <alignment horizontal="right" wrapText="1"/>
      <protection/>
    </xf>
    <xf numFmtId="3" fontId="28" fillId="0" borderId="0" xfId="65" applyNumberFormat="1" applyFont="1" applyBorder="1">
      <alignment/>
      <protection/>
    </xf>
    <xf numFmtId="3" fontId="31" fillId="0" borderId="0" xfId="0" applyNumberFormat="1" applyFont="1" applyFill="1" applyBorder="1" applyAlignment="1">
      <alignment/>
    </xf>
    <xf numFmtId="3" fontId="31" fillId="0" borderId="0" xfId="68" applyNumberFormat="1" applyFont="1" applyFill="1" applyBorder="1" applyAlignment="1">
      <alignment/>
    </xf>
    <xf numFmtId="3" fontId="22" fillId="0" borderId="0" xfId="58" applyNumberFormat="1" applyFont="1" applyFill="1" applyBorder="1">
      <alignment/>
      <protection/>
    </xf>
    <xf numFmtId="3" fontId="28" fillId="0" borderId="0" xfId="63" applyNumberFormat="1" applyFont="1" applyFill="1" applyBorder="1" applyAlignment="1">
      <alignment horizontal="center"/>
      <protection/>
    </xf>
    <xf numFmtId="1" fontId="22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68" applyNumberFormat="1" applyFont="1" applyFill="1" applyBorder="1" applyAlignment="1" applyProtection="1">
      <alignment horizontal="left"/>
      <protection/>
    </xf>
    <xf numFmtId="2" fontId="22" fillId="0" borderId="0" xfId="68" applyNumberFormat="1" applyFont="1" applyBorder="1" applyAlignment="1" applyProtection="1">
      <alignment/>
      <protection locked="0"/>
    </xf>
    <xf numFmtId="2" fontId="22" fillId="0" borderId="0" xfId="68" applyNumberFormat="1" applyFont="1" applyBorder="1" applyAlignment="1">
      <alignment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3" fillId="0" borderId="0" xfId="68" applyNumberFormat="1" applyFont="1" applyFill="1" applyBorder="1" applyAlignment="1" applyProtection="1">
      <alignment/>
      <protection/>
    </xf>
    <xf numFmtId="1" fontId="23" fillId="0" borderId="0" xfId="68" applyNumberFormat="1" applyFont="1" applyBorder="1" applyAlignment="1" applyProtection="1">
      <alignment/>
      <protection/>
    </xf>
    <xf numFmtId="1" fontId="23" fillId="0" borderId="0" xfId="68" applyNumberFormat="1" applyFont="1" applyBorder="1" applyAlignment="1">
      <alignment/>
    </xf>
    <xf numFmtId="165" fontId="22" fillId="0" borderId="0" xfId="68" applyNumberFormat="1" applyFont="1" applyBorder="1" applyAlignment="1" applyProtection="1">
      <alignment/>
      <protection locked="0"/>
    </xf>
    <xf numFmtId="165" fontId="22" fillId="0" borderId="0" xfId="68" applyNumberFormat="1" applyFont="1" applyFill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/>
      <protection locked="0"/>
    </xf>
    <xf numFmtId="165" fontId="22" fillId="0" borderId="0" xfId="68" applyNumberFormat="1" applyFont="1" applyFill="1" applyBorder="1" applyAlignment="1" applyProtection="1">
      <alignment/>
      <protection locked="0"/>
    </xf>
    <xf numFmtId="165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168" fontId="22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 applyProtection="1">
      <alignment horizontal="left"/>
      <protection locked="0"/>
    </xf>
    <xf numFmtId="10" fontId="22" fillId="0" borderId="0" xfId="68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1" fontId="37" fillId="0" borderId="0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 applyProtection="1">
      <alignment horizontal="left"/>
      <protection locked="0"/>
    </xf>
    <xf numFmtId="168" fontId="37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left"/>
      <protection/>
    </xf>
    <xf numFmtId="168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0" fontId="28" fillId="0" borderId="0" xfId="62" applyFont="1" applyFill="1" applyBorder="1" applyAlignment="1">
      <alignment horizontal="right" wrapText="1"/>
      <protection/>
    </xf>
    <xf numFmtId="0" fontId="28" fillId="0" borderId="0" xfId="62" applyFont="1" applyBorder="1">
      <alignment/>
      <protection/>
    </xf>
    <xf numFmtId="0" fontId="28" fillId="0" borderId="0" xfId="62" applyFont="1" applyFill="1" applyBorder="1" applyAlignment="1">
      <alignment wrapText="1"/>
      <protection/>
    </xf>
    <xf numFmtId="3" fontId="36" fillId="0" borderId="0" xfId="0" applyNumberFormat="1" applyFont="1" applyFill="1" applyAlignment="1" applyProtection="1">
      <alignment horizontal="center" wrapText="1"/>
      <protection/>
    </xf>
    <xf numFmtId="3" fontId="21" fillId="0" borderId="0" xfId="0" applyNumberFormat="1" applyFont="1" applyFill="1" applyAlignment="1" applyProtection="1" quotePrefix="1">
      <alignment horizontal="center"/>
      <protection/>
    </xf>
    <xf numFmtId="3" fontId="3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2" fontId="38" fillId="0" borderId="0" xfId="68" applyNumberFormat="1" applyFont="1" applyFill="1" applyAlignment="1" applyProtection="1">
      <alignment/>
      <protection/>
    </xf>
    <xf numFmtId="2" fontId="38" fillId="0" borderId="0" xfId="68" applyNumberFormat="1" applyFont="1" applyAlignment="1" applyProtection="1">
      <alignment/>
      <protection locked="0"/>
    </xf>
    <xf numFmtId="168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Alignment="1" applyProtection="1">
      <alignment/>
      <protection locked="0"/>
    </xf>
    <xf numFmtId="165" fontId="38" fillId="0" borderId="0" xfId="68" applyNumberFormat="1" applyFont="1" applyAlignment="1" applyProtection="1">
      <alignment/>
      <protection locked="0"/>
    </xf>
    <xf numFmtId="170" fontId="38" fillId="0" borderId="0" xfId="68" applyNumberFormat="1" applyFont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left"/>
      <protection locked="0"/>
    </xf>
    <xf numFmtId="3" fontId="22" fillId="0" borderId="0" xfId="0" applyNumberFormat="1" applyFont="1" applyFill="1" applyAlignment="1" applyProtection="1">
      <alignment horizontal="left"/>
      <protection/>
    </xf>
    <xf numFmtId="168" fontId="38" fillId="0" borderId="0" xfId="0" applyNumberFormat="1" applyFont="1" applyFill="1" applyAlignment="1" applyProtection="1">
      <alignment horizontal="left"/>
      <protection locked="0"/>
    </xf>
    <xf numFmtId="168" fontId="39" fillId="0" borderId="0" xfId="0" applyNumberFormat="1" applyFont="1" applyFill="1" applyAlignment="1" applyProtection="1">
      <alignment horizontal="left"/>
      <protection locked="0"/>
    </xf>
    <xf numFmtId="168" fontId="34" fillId="0" borderId="0" xfId="0" applyNumberFormat="1" applyFont="1" applyFill="1" applyAlignment="1" applyProtection="1">
      <alignment horizontal="left"/>
      <protection locked="0"/>
    </xf>
    <xf numFmtId="168" fontId="38" fillId="0" borderId="0" xfId="0" applyNumberFormat="1" applyFont="1" applyAlignment="1" applyProtection="1">
      <alignment horizontal="left"/>
      <protection locked="0"/>
    </xf>
    <xf numFmtId="3" fontId="38" fillId="0" borderId="0" xfId="0" applyNumberFormat="1" applyFont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Fill="1" applyBorder="1" applyAlignment="1" applyProtection="1">
      <alignment horizontal="right"/>
      <protection/>
    </xf>
    <xf numFmtId="4" fontId="22" fillId="0" borderId="0" xfId="68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left"/>
      <protection/>
    </xf>
    <xf numFmtId="1" fontId="22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/>
      <protection/>
    </xf>
    <xf numFmtId="3" fontId="38" fillId="0" borderId="11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right" wrapText="1"/>
      <protection/>
    </xf>
    <xf numFmtId="1" fontId="28" fillId="0" borderId="0" xfId="62" applyNumberFormat="1" applyFont="1" applyFill="1" applyBorder="1" applyAlignment="1">
      <alignment wrapText="1"/>
      <protection/>
    </xf>
    <xf numFmtId="4" fontId="28" fillId="0" borderId="0" xfId="62" applyNumberFormat="1" applyFont="1" applyFill="1" applyBorder="1" applyAlignment="1">
      <alignment horizontal="right" wrapText="1"/>
      <protection/>
    </xf>
    <xf numFmtId="1" fontId="40" fillId="0" borderId="0" xfId="68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left"/>
      <protection/>
    </xf>
    <xf numFmtId="1" fontId="28" fillId="0" borderId="0" xfId="62" applyNumberFormat="1" applyFont="1" applyBorder="1">
      <alignment/>
      <protection/>
    </xf>
    <xf numFmtId="1" fontId="28" fillId="0" borderId="0" xfId="62" applyNumberFormat="1" applyFont="1" applyFill="1" applyBorder="1" applyAlignment="1">
      <alignment horizontal="right" wrapText="1"/>
      <protection/>
    </xf>
    <xf numFmtId="1" fontId="38" fillId="0" borderId="0" xfId="0" applyNumberFormat="1" applyFont="1" applyAlignment="1" applyProtection="1">
      <alignment/>
      <protection locked="0"/>
    </xf>
    <xf numFmtId="1" fontId="22" fillId="0" borderId="0" xfId="0" applyNumberFormat="1" applyFont="1" applyBorder="1" applyAlignment="1" applyProtection="1">
      <alignment/>
      <protection locked="0"/>
    </xf>
    <xf numFmtId="1" fontId="22" fillId="0" borderId="0" xfId="0" applyNumberFormat="1" applyFont="1" applyBorder="1" applyAlignment="1">
      <alignment/>
    </xf>
    <xf numFmtId="3" fontId="23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170" fontId="22" fillId="0" borderId="0" xfId="68" applyNumberFormat="1" applyFont="1" applyAlignment="1" applyProtection="1">
      <alignment/>
      <protection locked="0"/>
    </xf>
    <xf numFmtId="3" fontId="3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24" borderId="0" xfId="0" applyNumberFormat="1" applyFont="1" applyFill="1" applyAlignment="1" applyProtection="1">
      <alignment horizontal="right"/>
      <protection/>
    </xf>
    <xf numFmtId="3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 horizontal="left"/>
      <protection/>
    </xf>
    <xf numFmtId="1" fontId="33" fillId="24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1" fontId="33" fillId="0" borderId="0" xfId="0" applyNumberFormat="1" applyFont="1" applyBorder="1" applyAlignment="1">
      <alignment horizontal="right"/>
    </xf>
    <xf numFmtId="3" fontId="33" fillId="0" borderId="0" xfId="68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3" fontId="22" fillId="0" borderId="11" xfId="68" applyNumberFormat="1" applyFont="1" applyFill="1" applyBorder="1" applyAlignment="1">
      <alignment/>
    </xf>
    <xf numFmtId="1" fontId="28" fillId="0" borderId="0" xfId="62" applyNumberFormat="1" applyFont="1" applyBorder="1" applyAlignment="1">
      <alignment horizontal="center"/>
      <protection/>
    </xf>
    <xf numFmtId="171" fontId="22" fillId="0" borderId="0" xfId="0" applyNumberFormat="1" applyFont="1" applyFill="1" applyBorder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0" fontId="38" fillId="0" borderId="0" xfId="59" applyFont="1" applyFill="1" applyAlignment="1" applyProtection="1">
      <alignment horizontal="right"/>
      <protection/>
    </xf>
    <xf numFmtId="0" fontId="38" fillId="0" borderId="0" xfId="59" applyFont="1" applyFill="1" applyProtection="1">
      <alignment/>
      <protection/>
    </xf>
    <xf numFmtId="3" fontId="38" fillId="0" borderId="0" xfId="59" applyNumberFormat="1" applyFont="1" applyFill="1">
      <alignment/>
      <protection/>
    </xf>
    <xf numFmtId="0" fontId="38" fillId="0" borderId="0" xfId="59" applyFont="1" applyFill="1">
      <alignment/>
      <protection/>
    </xf>
    <xf numFmtId="3" fontId="34" fillId="0" borderId="0" xfId="0" applyNumberFormat="1" applyFont="1" applyAlignment="1">
      <alignment/>
    </xf>
    <xf numFmtId="0" fontId="38" fillId="0" borderId="0" xfId="59" applyFont="1" applyFill="1" applyAlignment="1">
      <alignment horizontal="right"/>
      <protection/>
    </xf>
    <xf numFmtId="0" fontId="36" fillId="0" borderId="0" xfId="59" applyFont="1" applyFill="1" applyAlignment="1">
      <alignment horizontal="right"/>
      <protection/>
    </xf>
    <xf numFmtId="0" fontId="22" fillId="0" borderId="0" xfId="59" applyFont="1" applyFill="1" applyAlignment="1">
      <alignment horizontal="left"/>
      <protection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right"/>
    </xf>
    <xf numFmtId="3" fontId="42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36" fillId="0" borderId="0" xfId="59" applyNumberFormat="1" applyFont="1" applyFill="1" applyAlignment="1" applyProtection="1">
      <alignment horizontal="right"/>
      <protection/>
    </xf>
    <xf numFmtId="0" fontId="36" fillId="0" borderId="0" xfId="59" applyFont="1" applyFill="1" applyProtection="1">
      <alignment/>
      <protection/>
    </xf>
    <xf numFmtId="0" fontId="36" fillId="0" borderId="0" xfId="59" applyFont="1" applyFill="1" applyAlignment="1" applyProtection="1">
      <alignment horizontal="center"/>
      <protection/>
    </xf>
    <xf numFmtId="3" fontId="36" fillId="0" borderId="0" xfId="59" applyNumberFormat="1" applyFont="1" applyFill="1" applyAlignment="1" applyProtection="1" quotePrefix="1">
      <alignment horizontal="right"/>
      <protection/>
    </xf>
    <xf numFmtId="0" fontId="36" fillId="0" borderId="0" xfId="59" applyNumberFormat="1" applyFont="1" applyFill="1" applyAlignment="1" applyProtection="1">
      <alignment horizontal="center"/>
      <protection/>
    </xf>
    <xf numFmtId="3" fontId="38" fillId="0" borderId="0" xfId="59" applyNumberFormat="1" applyFont="1" applyFill="1" applyAlignment="1" applyProtection="1">
      <alignment horizontal="right"/>
      <protection/>
    </xf>
    <xf numFmtId="0" fontId="38" fillId="0" borderId="0" xfId="59" applyFont="1" applyFill="1" applyAlignment="1" applyProtection="1">
      <alignment horizontal="center"/>
      <protection/>
    </xf>
    <xf numFmtId="165" fontId="38" fillId="0" borderId="0" xfId="68" applyNumberFormat="1" applyFont="1" applyFill="1" applyAlignment="1" applyProtection="1">
      <alignment/>
      <protection/>
    </xf>
    <xf numFmtId="0" fontId="34" fillId="0" borderId="0" xfId="59" applyFont="1" applyFill="1" applyAlignment="1">
      <alignment horizontal="right"/>
      <protection/>
    </xf>
    <xf numFmtId="0" fontId="38" fillId="0" borderId="10" xfId="59" applyFont="1" applyFill="1" applyBorder="1" applyAlignment="1">
      <alignment horizontal="right"/>
      <protection/>
    </xf>
    <xf numFmtId="0" fontId="38" fillId="0" borderId="10" xfId="59" applyFont="1" applyFill="1" applyBorder="1">
      <alignment/>
      <protection/>
    </xf>
    <xf numFmtId="165" fontId="38" fillId="0" borderId="0" xfId="59" applyNumberFormat="1" applyFont="1" applyFill="1">
      <alignment/>
      <protection/>
    </xf>
    <xf numFmtId="10" fontId="34" fillId="0" borderId="0" xfId="68" applyNumberFormat="1" applyFont="1" applyAlignment="1">
      <alignment/>
    </xf>
    <xf numFmtId="3" fontId="41" fillId="0" borderId="0" xfId="59" applyNumberFormat="1" applyFont="1" applyFill="1">
      <alignment/>
      <protection/>
    </xf>
    <xf numFmtId="3" fontId="38" fillId="0" borderId="12" xfId="5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38" fillId="0" borderId="0" xfId="0" applyFont="1" applyAlignment="1">
      <alignment horizontal="center"/>
    </xf>
    <xf numFmtId="0" fontId="23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43" fillId="0" borderId="0" xfId="59" applyFont="1" applyFill="1" applyAlignment="1" applyProtection="1">
      <alignment horizontal="center"/>
      <protection/>
    </xf>
    <xf numFmtId="3" fontId="42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Alignment="1">
      <alignment/>
    </xf>
    <xf numFmtId="165" fontId="38" fillId="0" borderId="0" xfId="68" applyNumberFormat="1" applyFont="1" applyFill="1" applyAlignment="1" applyProtection="1">
      <alignment/>
      <protection/>
    </xf>
    <xf numFmtId="0" fontId="38" fillId="0" borderId="0" xfId="59" applyFont="1" applyFill="1" applyAlignment="1" quotePrefix="1">
      <alignment horizontal="right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3" fontId="38" fillId="0" borderId="10" xfId="0" applyNumberFormat="1" applyFont="1" applyBorder="1" applyAlignment="1">
      <alignment/>
    </xf>
    <xf numFmtId="3" fontId="38" fillId="0" borderId="12" xfId="0" applyNumberFormat="1" applyFont="1" applyFill="1" applyBorder="1" applyAlignment="1" applyProtection="1">
      <alignment/>
      <protection/>
    </xf>
    <xf numFmtId="165" fontId="38" fillId="0" borderId="12" xfId="68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 quotePrefix="1">
      <alignment horizontal="center"/>
      <protection/>
    </xf>
    <xf numFmtId="3" fontId="28" fillId="0" borderId="0" xfId="57" applyNumberFormat="1" applyFont="1" applyFill="1" applyBorder="1" applyAlignment="1">
      <alignment horizontal="center"/>
      <protection/>
    </xf>
    <xf numFmtId="3" fontId="28" fillId="0" borderId="0" xfId="57" applyNumberFormat="1" applyFont="1" applyFill="1" applyBorder="1" applyAlignment="1">
      <alignment horizontal="right" wrapText="1"/>
      <protection/>
    </xf>
    <xf numFmtId="3" fontId="28" fillId="0" borderId="0" xfId="57" applyNumberFormat="1" applyFont="1" applyFill="1" applyBorder="1">
      <alignment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178" fontId="22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178" fontId="22" fillId="0" borderId="0" xfId="0" applyNumberFormat="1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178" fontId="23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178" fontId="22" fillId="0" borderId="0" xfId="0" applyNumberFormat="1" applyFont="1" applyBorder="1" applyAlignment="1">
      <alignment/>
    </xf>
    <xf numFmtId="178" fontId="22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178" fontId="22" fillId="0" borderId="0" xfId="0" applyNumberFormat="1" applyFont="1" applyFill="1" applyAlignment="1">
      <alignment/>
    </xf>
    <xf numFmtId="178" fontId="23" fillId="0" borderId="0" xfId="0" applyNumberFormat="1" applyFont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78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left"/>
    </xf>
    <xf numFmtId="178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178" fontId="22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59" applyFont="1" applyFill="1" applyAlignment="1">
      <alignment horizontal="right"/>
      <protection/>
    </xf>
    <xf numFmtId="0" fontId="23" fillId="0" borderId="0" xfId="59" applyFont="1" applyFill="1" applyAlignment="1">
      <alignment horizontal="right"/>
      <protection/>
    </xf>
    <xf numFmtId="0" fontId="30" fillId="0" borderId="10" xfId="0" applyFont="1" applyFill="1" applyBorder="1" applyAlignment="1">
      <alignment/>
    </xf>
    <xf numFmtId="43" fontId="22" fillId="0" borderId="0" xfId="42" applyFont="1" applyAlignment="1">
      <alignment/>
    </xf>
    <xf numFmtId="3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 quotePrefix="1">
      <alignment horizontal="center"/>
    </xf>
    <xf numFmtId="0" fontId="28" fillId="0" borderId="0" xfId="62" applyFont="1" applyBorder="1" applyAlignment="1">
      <alignment horizontal="right"/>
      <protection/>
    </xf>
    <xf numFmtId="3" fontId="36" fillId="0" borderId="10" xfId="59" applyNumberFormat="1" applyFont="1" applyFill="1" applyBorder="1" applyAlignment="1" applyProtection="1" quotePrefix="1">
      <alignment horizontal="center"/>
      <protection/>
    </xf>
    <xf numFmtId="3" fontId="36" fillId="0" borderId="0" xfId="59" applyNumberFormat="1" applyFont="1" applyFill="1" applyBorder="1" applyAlignment="1" applyProtection="1" quotePrefix="1">
      <alignment horizontal="center"/>
      <protection/>
    </xf>
    <xf numFmtId="3" fontId="36" fillId="0" borderId="0" xfId="59" applyNumberFormat="1" applyFont="1" applyFill="1" applyAlignment="1" applyProtection="1">
      <alignment horizontal="center"/>
      <protection/>
    </xf>
    <xf numFmtId="3" fontId="38" fillId="0" borderId="0" xfId="59" applyNumberFormat="1" applyFont="1" applyFill="1" applyAlignment="1" applyProtection="1" quotePrefix="1">
      <alignment horizontal="center"/>
      <protection/>
    </xf>
    <xf numFmtId="3" fontId="38" fillId="0" borderId="0" xfId="59" applyNumberFormat="1" applyFont="1" applyFill="1" applyAlignment="1" applyProtection="1">
      <alignment horizontal="center"/>
      <protection/>
    </xf>
    <xf numFmtId="3" fontId="36" fillId="0" borderId="0" xfId="59" applyNumberFormat="1" applyFont="1" applyFill="1" applyAlignment="1" applyProtection="1" quotePrefix="1">
      <alignment horizontal="center"/>
      <protection/>
    </xf>
    <xf numFmtId="0" fontId="45" fillId="0" borderId="0" xfId="0" applyFont="1" applyFill="1" applyAlignment="1">
      <alignment horizontal="center"/>
    </xf>
    <xf numFmtId="3" fontId="42" fillId="0" borderId="0" xfId="63" applyNumberFormat="1" applyFont="1" applyFill="1" applyBorder="1" applyAlignment="1">
      <alignment horizontal="right" vertical="top"/>
      <protection/>
    </xf>
    <xf numFmtId="3" fontId="38" fillId="0" borderId="0" xfId="0" applyNumberFormat="1" applyFont="1" applyFill="1" applyBorder="1" applyAlignment="1" applyProtection="1">
      <alignment horizontal="right" vertical="top"/>
      <protection/>
    </xf>
    <xf numFmtId="3" fontId="38" fillId="0" borderId="12" xfId="0" applyNumberFormat="1" applyFont="1" applyFill="1" applyBorder="1" applyAlignment="1" applyProtection="1">
      <alignment/>
      <protection/>
    </xf>
    <xf numFmtId="3" fontId="23" fillId="0" borderId="0" xfId="0" applyNumberFormat="1" applyFont="1" applyBorder="1" applyAlignment="1" quotePrefix="1">
      <alignment horizontal="center" vertical="top" wrapText="1"/>
    </xf>
    <xf numFmtId="0" fontId="45" fillId="0" borderId="0" xfId="0" applyFont="1" applyFill="1" applyAlignment="1">
      <alignment/>
    </xf>
    <xf numFmtId="1" fontId="22" fillId="0" borderId="0" xfId="68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Border="1" applyAlignment="1">
      <alignment horizontal="center"/>
    </xf>
    <xf numFmtId="3" fontId="28" fillId="0" borderId="0" xfId="62" applyNumberFormat="1" applyFont="1" applyFill="1" applyBorder="1" applyAlignment="1">
      <alignment horizontal="right" wrapText="1"/>
      <protection/>
    </xf>
    <xf numFmtId="3" fontId="28" fillId="0" borderId="0" xfId="62" applyNumberFormat="1" applyFont="1" applyBorder="1">
      <alignment/>
      <protection/>
    </xf>
    <xf numFmtId="3" fontId="25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/>
    </xf>
    <xf numFmtId="3" fontId="23" fillId="0" borderId="0" xfId="0" applyNumberFormat="1" applyFont="1" applyFill="1" applyAlignment="1" applyProtection="1">
      <alignment/>
      <protection/>
    </xf>
    <xf numFmtId="3" fontId="32" fillId="0" borderId="0" xfId="61" applyNumberFormat="1" applyFont="1" applyFill="1" applyBorder="1" applyAlignment="1">
      <alignment horizontal="right" wrapText="1"/>
      <protection/>
    </xf>
    <xf numFmtId="3" fontId="32" fillId="0" borderId="0" xfId="63" applyNumberFormat="1" applyFont="1" applyFill="1" applyBorder="1" applyAlignment="1">
      <alignment horizontal="right" wrapText="1"/>
      <protection/>
    </xf>
    <xf numFmtId="3" fontId="32" fillId="0" borderId="0" xfId="65" applyNumberFormat="1" applyFont="1" applyFill="1" applyBorder="1" applyAlignment="1">
      <alignment horizontal="right" wrapText="1"/>
      <protection/>
    </xf>
    <xf numFmtId="165" fontId="22" fillId="0" borderId="0" xfId="68" applyNumberFormat="1" applyFont="1" applyFill="1" applyBorder="1" applyAlignment="1" applyProtection="1">
      <alignment horizontal="left"/>
      <protection locked="0"/>
    </xf>
    <xf numFmtId="3" fontId="22" fillId="25" borderId="0" xfId="0" applyNumberFormat="1" applyFont="1" applyFill="1" applyAlignment="1" applyProtection="1">
      <alignment/>
      <protection locked="0"/>
    </xf>
    <xf numFmtId="3" fontId="36" fillId="0" borderId="10" xfId="59" applyNumberFormat="1" applyFont="1" applyFill="1" applyBorder="1" applyAlignment="1" applyProtection="1" quotePrefix="1">
      <alignment horizontal="center"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32" fillId="0" borderId="0" xfId="64" applyNumberFormat="1" applyFont="1" applyFill="1" applyBorder="1" applyAlignment="1">
      <alignment horizontal="center" vertical="top" wrapText="1"/>
      <protection/>
    </xf>
    <xf numFmtId="3" fontId="32" fillId="0" borderId="0" xfId="57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 quotePrefix="1">
      <alignment horizontal="center"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Fill="1" applyAlignment="1" applyProtection="1">
      <alignment horizontal="center" wrapText="1"/>
      <protection/>
    </xf>
    <xf numFmtId="3" fontId="23" fillId="0" borderId="0" xfId="0" applyNumberFormat="1" applyFont="1" applyFill="1" applyAlignment="1" applyProtection="1">
      <alignment horizontal="center"/>
      <protection/>
    </xf>
    <xf numFmtId="3" fontId="23" fillId="0" borderId="0" xfId="0" applyNumberFormat="1" applyFont="1" applyFill="1" applyAlignment="1" applyProtection="1">
      <alignment horizontal="center" vertical="top" wrapText="1"/>
      <protection/>
    </xf>
    <xf numFmtId="0" fontId="38" fillId="0" borderId="0" xfId="0" applyFont="1" applyAlignment="1">
      <alignment horizontal="center" vertical="top" wrapText="1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 quotePrefix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178" fontId="23" fillId="0" borderId="0" xfId="0" applyNumberFormat="1" applyFont="1" applyAlignment="1">
      <alignment horizontal="center"/>
    </xf>
    <xf numFmtId="178" fontId="23" fillId="0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.3 Sjóðs. " xfId="57"/>
    <cellStyle name="Normal_B-deild ársreikn 311200-3" xfId="58"/>
    <cellStyle name="Normal_BLS81.XLS" xfId="59"/>
    <cellStyle name="Normal_Sam kennit" xfId="60"/>
    <cellStyle name="Normal_Sam sjóðst" xfId="61"/>
    <cellStyle name="Normal_Ser kt." xfId="62"/>
    <cellStyle name="Normal_Sheet1" xfId="63"/>
    <cellStyle name="Normal_Sheet2" xfId="64"/>
    <cellStyle name="Normal_Sheet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55</xdr:row>
      <xdr:rowOff>0</xdr:rowOff>
    </xdr:from>
    <xdr:to>
      <xdr:col>2</xdr:col>
      <xdr:colOff>885825</xdr:colOff>
      <xdr:row>56</xdr:row>
      <xdr:rowOff>142875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9906000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885825</xdr:colOff>
      <xdr:row>56</xdr:row>
      <xdr:rowOff>142875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" y="9906000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28125" style="177" customWidth="1"/>
    <col min="2" max="2" width="48.00390625" style="177" customWidth="1"/>
    <col min="3" max="3" width="12.140625" style="177" customWidth="1"/>
    <col min="4" max="4" width="11.57421875" style="276" customWidth="1"/>
    <col min="5" max="6" width="9.140625" style="177" customWidth="1"/>
    <col min="7" max="7" width="8.8515625" style="259" customWidth="1"/>
    <col min="8" max="16384" width="9.140625" style="177" customWidth="1"/>
  </cols>
  <sheetData>
    <row r="1" ht="14.25" customHeight="1">
      <c r="A1" s="177" t="s">
        <v>480</v>
      </c>
    </row>
    <row r="2" ht="14.25" customHeight="1">
      <c r="A2" s="177" t="s">
        <v>600</v>
      </c>
    </row>
    <row r="3" ht="14.25" customHeight="1"/>
    <row r="4" ht="12.75" customHeight="1"/>
    <row r="5" spans="3:4" ht="12.75" customHeight="1">
      <c r="C5" s="288" t="s">
        <v>481</v>
      </c>
      <c r="D5" s="288" t="s">
        <v>482</v>
      </c>
    </row>
    <row r="6" spans="2:4" ht="12.75" customHeight="1">
      <c r="B6" s="289" t="s">
        <v>483</v>
      </c>
      <c r="C6" s="288" t="s">
        <v>484</v>
      </c>
      <c r="D6" s="288" t="s">
        <v>485</v>
      </c>
    </row>
    <row r="7" spans="2:4" ht="6" customHeight="1">
      <c r="B7" s="289"/>
      <c r="C7" s="288"/>
      <c r="D7" s="288"/>
    </row>
    <row r="8" spans="1:8" ht="12.75" customHeight="1">
      <c r="A8" s="246"/>
      <c r="B8" s="257" t="s">
        <v>23</v>
      </c>
      <c r="C8" s="246">
        <v>7</v>
      </c>
      <c r="D8" s="246">
        <v>5</v>
      </c>
      <c r="F8" s="246"/>
      <c r="G8" s="246"/>
      <c r="H8" s="257"/>
    </row>
    <row r="9" spans="1:8" ht="12.75" customHeight="1">
      <c r="A9" s="246"/>
      <c r="B9" s="257" t="s">
        <v>159</v>
      </c>
      <c r="C9" s="246">
        <v>1</v>
      </c>
      <c r="D9" s="246">
        <v>20</v>
      </c>
      <c r="F9" s="246"/>
      <c r="G9" s="246"/>
      <c r="H9" s="257"/>
    </row>
    <row r="10" spans="1:8" ht="12.75" customHeight="1">
      <c r="A10" s="246"/>
      <c r="B10" s="257" t="s">
        <v>455</v>
      </c>
      <c r="C10" s="246">
        <v>1</v>
      </c>
      <c r="D10" s="246">
        <v>33</v>
      </c>
      <c r="F10" s="246"/>
      <c r="G10" s="246"/>
      <c r="H10" s="257"/>
    </row>
    <row r="11" spans="1:8" ht="12.75" customHeight="1">
      <c r="A11" s="246"/>
      <c r="B11" s="257" t="s">
        <v>5</v>
      </c>
      <c r="C11" s="246">
        <v>1</v>
      </c>
      <c r="D11" s="246">
        <v>35</v>
      </c>
      <c r="F11" s="246"/>
      <c r="G11" s="246"/>
      <c r="H11" s="257"/>
    </row>
    <row r="12" spans="1:8" ht="12.75" customHeight="1">
      <c r="A12" s="246"/>
      <c r="B12" s="257" t="s">
        <v>450</v>
      </c>
      <c r="C12" s="246">
        <v>1</v>
      </c>
      <c r="D12" s="246">
        <v>23</v>
      </c>
      <c r="F12" s="246"/>
      <c r="G12" s="246"/>
      <c r="H12" s="257"/>
    </row>
    <row r="13" spans="1:8" ht="12.75" customHeight="1">
      <c r="A13" s="246"/>
      <c r="B13" s="257" t="s">
        <v>160</v>
      </c>
      <c r="C13" s="246">
        <v>1</v>
      </c>
      <c r="D13" s="246">
        <v>30</v>
      </c>
      <c r="F13" s="246"/>
      <c r="G13" s="246"/>
      <c r="H13" s="257"/>
    </row>
    <row r="14" spans="1:8" ht="12.75" customHeight="1">
      <c r="A14" s="246"/>
      <c r="B14" s="257" t="s">
        <v>449</v>
      </c>
      <c r="C14" s="246">
        <v>1</v>
      </c>
      <c r="D14" s="246">
        <v>34</v>
      </c>
      <c r="F14" s="246"/>
      <c r="G14" s="246"/>
      <c r="H14" s="257"/>
    </row>
    <row r="15" spans="1:8" ht="12.75" customHeight="1">
      <c r="A15" s="246"/>
      <c r="B15" s="257" t="s">
        <v>451</v>
      </c>
      <c r="C15" s="246">
        <v>1</v>
      </c>
      <c r="D15" s="246">
        <v>41</v>
      </c>
      <c r="F15" s="246"/>
      <c r="G15" s="246"/>
      <c r="H15" s="257"/>
    </row>
    <row r="16" spans="1:8" ht="12.75" customHeight="1">
      <c r="A16" s="246"/>
      <c r="B16" s="257" t="s">
        <v>24</v>
      </c>
      <c r="C16" s="246">
        <v>2</v>
      </c>
      <c r="D16" s="246">
        <v>10</v>
      </c>
      <c r="F16" s="246"/>
      <c r="G16" s="246"/>
      <c r="H16" s="257"/>
    </row>
    <row r="17" spans="1:8" ht="12.75" customHeight="1">
      <c r="A17" s="246"/>
      <c r="B17" s="257" t="s">
        <v>262</v>
      </c>
      <c r="C17" s="246">
        <v>4</v>
      </c>
      <c r="D17" s="246">
        <v>7</v>
      </c>
      <c r="F17" s="246"/>
      <c r="G17" s="246"/>
      <c r="H17" s="257"/>
    </row>
    <row r="18" spans="1:8" ht="12.75" customHeight="1">
      <c r="A18" s="246"/>
      <c r="B18" s="257" t="s">
        <v>25</v>
      </c>
      <c r="C18" s="246">
        <v>4</v>
      </c>
      <c r="D18" s="246">
        <v>3</v>
      </c>
      <c r="F18" s="246"/>
      <c r="G18" s="246"/>
      <c r="H18" s="257"/>
    </row>
    <row r="19" spans="1:8" ht="12.75" customHeight="1">
      <c r="A19" s="246"/>
      <c r="B19" s="257" t="s">
        <v>26</v>
      </c>
      <c r="C19" s="246">
        <v>5</v>
      </c>
      <c r="D19" s="246">
        <v>16</v>
      </c>
      <c r="F19" s="246"/>
      <c r="G19" s="246"/>
      <c r="H19" s="257"/>
    </row>
    <row r="20" spans="1:8" ht="12.75" customHeight="1">
      <c r="A20" s="246"/>
      <c r="B20" s="257" t="s">
        <v>441</v>
      </c>
      <c r="C20" s="246">
        <v>1</v>
      </c>
      <c r="D20" s="246">
        <v>32</v>
      </c>
      <c r="F20" s="246"/>
      <c r="G20" s="246"/>
      <c r="H20" s="257"/>
    </row>
    <row r="21" spans="1:8" ht="12.75" customHeight="1">
      <c r="A21" s="246"/>
      <c r="B21" s="257" t="s">
        <v>27</v>
      </c>
      <c r="C21" s="246">
        <v>2</v>
      </c>
      <c r="D21" s="246">
        <v>12</v>
      </c>
      <c r="F21" s="246"/>
      <c r="G21" s="246"/>
      <c r="H21" s="257"/>
    </row>
    <row r="22" spans="1:8" ht="12.75" customHeight="1">
      <c r="A22" s="246"/>
      <c r="B22" s="257" t="s">
        <v>3</v>
      </c>
      <c r="C22" s="246">
        <v>2</v>
      </c>
      <c r="D22" s="246">
        <v>11</v>
      </c>
      <c r="F22" s="246"/>
      <c r="G22" s="246"/>
      <c r="H22" s="257"/>
    </row>
    <row r="23" spans="1:8" ht="12.75" customHeight="1">
      <c r="A23" s="246"/>
      <c r="B23" s="257" t="s">
        <v>28</v>
      </c>
      <c r="C23" s="246">
        <v>1</v>
      </c>
      <c r="D23" s="246">
        <v>19</v>
      </c>
      <c r="F23" s="246"/>
      <c r="G23" s="246"/>
      <c r="H23" s="257"/>
    </row>
    <row r="24" spans="1:8" ht="12.75" customHeight="1">
      <c r="A24" s="246"/>
      <c r="B24" s="257" t="s">
        <v>421</v>
      </c>
      <c r="C24" s="246">
        <v>2</v>
      </c>
      <c r="D24" s="246">
        <v>25</v>
      </c>
      <c r="F24" s="246"/>
      <c r="G24" s="246"/>
      <c r="H24" s="257"/>
    </row>
    <row r="25" spans="1:8" ht="12.75" customHeight="1">
      <c r="A25" s="246"/>
      <c r="B25" s="257" t="s">
        <v>164</v>
      </c>
      <c r="C25" s="246">
        <v>1</v>
      </c>
      <c r="D25" s="246">
        <v>26</v>
      </c>
      <c r="F25" s="246"/>
      <c r="G25" s="246"/>
      <c r="H25" s="257"/>
    </row>
    <row r="26" spans="1:8" ht="12.75" customHeight="1">
      <c r="A26" s="246"/>
      <c r="B26" s="257" t="s">
        <v>440</v>
      </c>
      <c r="C26" s="246">
        <v>1</v>
      </c>
      <c r="D26" s="246">
        <v>17</v>
      </c>
      <c r="F26" s="246"/>
      <c r="G26" s="246"/>
      <c r="H26" s="257"/>
    </row>
    <row r="27" spans="1:8" ht="12.75" customHeight="1">
      <c r="A27" s="246"/>
      <c r="B27" s="257" t="s">
        <v>454</v>
      </c>
      <c r="C27" s="246">
        <v>1</v>
      </c>
      <c r="D27" s="246">
        <v>31</v>
      </c>
      <c r="F27" s="246"/>
      <c r="G27" s="246"/>
      <c r="H27" s="257"/>
    </row>
    <row r="28" spans="1:8" ht="12.75" customHeight="1">
      <c r="A28" s="246"/>
      <c r="B28" s="257" t="s">
        <v>443</v>
      </c>
      <c r="C28" s="246">
        <v>1</v>
      </c>
      <c r="D28" s="246">
        <v>39</v>
      </c>
      <c r="F28" s="246"/>
      <c r="G28" s="246"/>
      <c r="H28" s="257"/>
    </row>
    <row r="29" spans="1:8" ht="12.75" customHeight="1">
      <c r="A29" s="246"/>
      <c r="B29" s="258" t="s">
        <v>29</v>
      </c>
      <c r="C29" s="246">
        <v>3</v>
      </c>
      <c r="D29" s="246">
        <v>8</v>
      </c>
      <c r="F29" s="246"/>
      <c r="G29" s="246"/>
      <c r="H29" s="258"/>
    </row>
    <row r="30" spans="1:8" ht="12.75" customHeight="1">
      <c r="A30" s="246"/>
      <c r="B30" s="257" t="s">
        <v>30</v>
      </c>
      <c r="C30" s="246">
        <v>1</v>
      </c>
      <c r="D30" s="246">
        <v>24</v>
      </c>
      <c r="F30" s="246"/>
      <c r="G30" s="246"/>
      <c r="H30" s="257"/>
    </row>
    <row r="31" spans="1:8" ht="12.75" customHeight="1">
      <c r="A31" s="246"/>
      <c r="B31" s="257" t="s">
        <v>168</v>
      </c>
      <c r="C31" s="246">
        <v>1</v>
      </c>
      <c r="D31" s="246">
        <v>29</v>
      </c>
      <c r="F31" s="246"/>
      <c r="G31" s="246"/>
      <c r="H31" s="257"/>
    </row>
    <row r="32" spans="1:8" ht="12.75" customHeight="1">
      <c r="A32" s="246"/>
      <c r="B32" s="257" t="s">
        <v>167</v>
      </c>
      <c r="C32" s="246">
        <v>1</v>
      </c>
      <c r="D32" s="246">
        <v>36</v>
      </c>
      <c r="F32" s="246"/>
      <c r="G32" s="246"/>
      <c r="H32" s="257"/>
    </row>
    <row r="33" spans="1:8" ht="12.75" customHeight="1">
      <c r="A33" s="246"/>
      <c r="B33" s="257" t="s">
        <v>424</v>
      </c>
      <c r="C33" s="246">
        <v>1</v>
      </c>
      <c r="D33" s="246">
        <v>22</v>
      </c>
      <c r="F33" s="246"/>
      <c r="G33" s="246"/>
      <c r="H33" s="257"/>
    </row>
    <row r="34" spans="1:8" ht="12.75" customHeight="1">
      <c r="A34" s="246"/>
      <c r="B34" s="257" t="s">
        <v>169</v>
      </c>
      <c r="C34" s="246">
        <v>1</v>
      </c>
      <c r="D34" s="246">
        <v>38</v>
      </c>
      <c r="F34" s="246"/>
      <c r="G34" s="246"/>
      <c r="H34" s="257"/>
    </row>
    <row r="35" spans="1:8" ht="12.75" customHeight="1">
      <c r="A35" s="246"/>
      <c r="B35" s="257" t="s">
        <v>171</v>
      </c>
      <c r="C35" s="246">
        <v>1</v>
      </c>
      <c r="D35" s="246">
        <v>28</v>
      </c>
      <c r="F35" s="246"/>
      <c r="G35" s="246"/>
      <c r="H35" s="257"/>
    </row>
    <row r="36" spans="1:8" ht="12.75" customHeight="1">
      <c r="A36" s="246"/>
      <c r="B36" s="257" t="s">
        <v>172</v>
      </c>
      <c r="C36" s="246">
        <v>1</v>
      </c>
      <c r="D36" s="246">
        <v>21</v>
      </c>
      <c r="F36" s="246"/>
      <c r="G36" s="246"/>
      <c r="H36" s="257"/>
    </row>
    <row r="37" spans="1:8" ht="12.75" customHeight="1">
      <c r="A37" s="246"/>
      <c r="B37" s="257" t="s">
        <v>453</v>
      </c>
      <c r="C37" s="246">
        <v>5</v>
      </c>
      <c r="D37" s="246">
        <v>1</v>
      </c>
      <c r="F37" s="246"/>
      <c r="G37" s="246"/>
      <c r="H37" s="257"/>
    </row>
    <row r="38" spans="1:8" ht="12.75" customHeight="1">
      <c r="A38" s="246"/>
      <c r="B38" s="257" t="s">
        <v>486</v>
      </c>
      <c r="C38" s="246">
        <v>5</v>
      </c>
      <c r="D38" s="246">
        <v>15</v>
      </c>
      <c r="F38" s="246"/>
      <c r="G38" s="246"/>
      <c r="H38" s="257"/>
    </row>
    <row r="39" spans="1:8" ht="12.75" customHeight="1">
      <c r="A39" s="246"/>
      <c r="B39" s="257" t="s">
        <v>174</v>
      </c>
      <c r="C39" s="246">
        <v>1</v>
      </c>
      <c r="D39" s="246">
        <v>40</v>
      </c>
      <c r="F39" s="246"/>
      <c r="G39" s="246"/>
      <c r="H39" s="257"/>
    </row>
    <row r="40" spans="1:8" ht="12.75" customHeight="1">
      <c r="A40" s="246"/>
      <c r="B40" s="257" t="s">
        <v>175</v>
      </c>
      <c r="C40" s="246">
        <v>2</v>
      </c>
      <c r="D40" s="246">
        <v>27</v>
      </c>
      <c r="F40" s="246"/>
      <c r="G40" s="246"/>
      <c r="H40" s="257"/>
    </row>
    <row r="41" spans="1:8" ht="12.75" customHeight="1">
      <c r="A41" s="246"/>
      <c r="B41" s="257" t="s">
        <v>31</v>
      </c>
      <c r="C41" s="246">
        <v>3</v>
      </c>
      <c r="D41" s="246">
        <v>13</v>
      </c>
      <c r="F41" s="246"/>
      <c r="G41" s="246"/>
      <c r="H41" s="257"/>
    </row>
    <row r="42" spans="1:8" ht="12.75" customHeight="1">
      <c r="A42" s="246"/>
      <c r="B42" s="257" t="s">
        <v>439</v>
      </c>
      <c r="C42" s="246">
        <v>2</v>
      </c>
      <c r="D42" s="246">
        <v>2</v>
      </c>
      <c r="F42" s="246"/>
      <c r="G42" s="246"/>
      <c r="H42" s="257"/>
    </row>
    <row r="43" spans="1:8" ht="12.75" customHeight="1">
      <c r="A43" s="246"/>
      <c r="B43" s="257" t="s">
        <v>32</v>
      </c>
      <c r="C43" s="246">
        <v>2</v>
      </c>
      <c r="D43" s="246">
        <v>14</v>
      </c>
      <c r="F43" s="246"/>
      <c r="G43" s="246"/>
      <c r="H43" s="257"/>
    </row>
    <row r="44" spans="1:8" ht="12.75" customHeight="1">
      <c r="A44" s="246"/>
      <c r="B44" s="257" t="s">
        <v>265</v>
      </c>
      <c r="C44" s="246">
        <v>3</v>
      </c>
      <c r="D44" s="246">
        <v>18</v>
      </c>
      <c r="F44" s="246"/>
      <c r="G44" s="246"/>
      <c r="H44" s="257"/>
    </row>
    <row r="45" spans="1:8" ht="12.75" customHeight="1">
      <c r="A45" s="246"/>
      <c r="B45" s="257" t="s">
        <v>442</v>
      </c>
      <c r="C45" s="246">
        <v>1</v>
      </c>
      <c r="D45" s="246">
        <v>37</v>
      </c>
      <c r="F45" s="246"/>
      <c r="G45" s="246"/>
      <c r="H45" s="257"/>
    </row>
    <row r="46" spans="1:8" ht="12.75" customHeight="1">
      <c r="A46" s="246"/>
      <c r="B46" s="257" t="s">
        <v>0</v>
      </c>
      <c r="C46" s="246">
        <v>9</v>
      </c>
      <c r="D46" s="246">
        <v>4</v>
      </c>
      <c r="F46" s="246"/>
      <c r="G46" s="246"/>
      <c r="H46" s="257"/>
    </row>
    <row r="47" spans="1:8" ht="12.75" customHeight="1">
      <c r="A47" s="246"/>
      <c r="B47" s="257" t="s">
        <v>33</v>
      </c>
      <c r="C47" s="246">
        <v>6</v>
      </c>
      <c r="D47" s="246">
        <v>6</v>
      </c>
      <c r="F47" s="246"/>
      <c r="G47" s="246"/>
      <c r="H47" s="257"/>
    </row>
    <row r="48" spans="1:8" ht="12.75" customHeight="1">
      <c r="A48" s="246"/>
      <c r="B48" s="257" t="s">
        <v>452</v>
      </c>
      <c r="C48" s="246">
        <v>2</v>
      </c>
      <c r="D48" s="246">
        <v>9</v>
      </c>
      <c r="F48" s="246"/>
      <c r="G48" s="246"/>
      <c r="H48" s="257"/>
    </row>
    <row r="49" ht="12.75" customHeight="1"/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&amp;12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01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V82" sqref="AV82"/>
    </sheetView>
  </sheetViews>
  <sheetFormatPr defaultColWidth="9.140625" defaultRowHeight="12.75" customHeight="1"/>
  <cols>
    <col min="1" max="1" width="23.00390625" style="26" customWidth="1"/>
    <col min="2" max="2" width="2.421875" style="168" customWidth="1"/>
    <col min="3" max="16" width="9.28125" style="32" customWidth="1"/>
    <col min="17" max="25" width="8.140625" style="32" customWidth="1"/>
    <col min="26" max="31" width="9.28125" style="32" customWidth="1"/>
    <col min="32" max="32" width="9.28125" style="26" customWidth="1"/>
    <col min="33" max="33" width="10.00390625" style="32" customWidth="1"/>
    <col min="34" max="35" width="9.28125" style="32" customWidth="1"/>
    <col min="36" max="36" width="9.28125" style="26" customWidth="1"/>
    <col min="37" max="39" width="9.28125" style="32" customWidth="1"/>
    <col min="40" max="43" width="8.421875" style="32" customWidth="1"/>
    <col min="44" max="45" width="8.421875" style="26" customWidth="1"/>
    <col min="46" max="46" width="11.7109375" style="32" customWidth="1"/>
    <col min="47" max="47" width="2.140625" style="177" customWidth="1"/>
    <col min="48" max="48" width="9.28125" style="217" customWidth="1"/>
    <col min="49" max="16384" width="9.140625" style="32" customWidth="1"/>
  </cols>
  <sheetData>
    <row r="1" spans="1:49" s="37" customFormat="1" ht="12.75" customHeight="1">
      <c r="A1" s="14"/>
      <c r="B1" s="140"/>
      <c r="C1" s="372" t="s">
        <v>263</v>
      </c>
      <c r="D1" s="372"/>
      <c r="E1" s="372"/>
      <c r="F1" s="373" t="s">
        <v>176</v>
      </c>
      <c r="G1" s="372" t="s">
        <v>25</v>
      </c>
      <c r="H1" s="372"/>
      <c r="I1" s="372"/>
      <c r="J1" s="372" t="s">
        <v>0</v>
      </c>
      <c r="K1" s="372"/>
      <c r="L1" s="372"/>
      <c r="M1" s="372"/>
      <c r="N1" s="372"/>
      <c r="O1" s="372"/>
      <c r="P1" s="372"/>
      <c r="Q1" s="372" t="s">
        <v>23</v>
      </c>
      <c r="R1" s="372"/>
      <c r="S1" s="372"/>
      <c r="T1" s="372"/>
      <c r="U1" s="372" t="s">
        <v>33</v>
      </c>
      <c r="V1" s="372"/>
      <c r="W1" s="372"/>
      <c r="X1" s="372"/>
      <c r="Y1" s="372"/>
      <c r="Z1" s="372" t="s">
        <v>262</v>
      </c>
      <c r="AA1" s="372"/>
      <c r="AB1" s="372"/>
      <c r="AC1" s="372" t="s">
        <v>29</v>
      </c>
      <c r="AD1" s="372"/>
      <c r="AE1" s="373" t="s">
        <v>2</v>
      </c>
      <c r="AF1" s="373" t="s">
        <v>24</v>
      </c>
      <c r="AG1" s="373" t="s">
        <v>27</v>
      </c>
      <c r="AH1" s="372" t="s">
        <v>31</v>
      </c>
      <c r="AI1" s="372"/>
      <c r="AJ1" s="373" t="s">
        <v>32</v>
      </c>
      <c r="AK1" s="372" t="s">
        <v>486</v>
      </c>
      <c r="AL1" s="372"/>
      <c r="AM1" s="372"/>
      <c r="AN1" s="372" t="s">
        <v>26</v>
      </c>
      <c r="AO1" s="372"/>
      <c r="AP1" s="372"/>
      <c r="AQ1" s="372"/>
      <c r="AR1" s="372" t="s">
        <v>601</v>
      </c>
      <c r="AS1" s="372"/>
      <c r="AT1" s="373" t="s">
        <v>175</v>
      </c>
      <c r="AU1" s="173"/>
      <c r="AV1" s="371" t="s">
        <v>266</v>
      </c>
      <c r="AW1" s="139"/>
    </row>
    <row r="2" spans="1:49" s="11" customFormat="1" ht="12.75" customHeight="1">
      <c r="A2" s="12"/>
      <c r="B2" s="138"/>
      <c r="C2" s="2"/>
      <c r="D2" s="2"/>
      <c r="E2" s="2"/>
      <c r="F2" s="37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74"/>
      <c r="AF2" s="374"/>
      <c r="AG2" s="374"/>
      <c r="AH2" s="2"/>
      <c r="AI2" s="2"/>
      <c r="AJ2" s="374"/>
      <c r="AK2" s="2"/>
      <c r="AL2" s="2"/>
      <c r="AM2" s="2"/>
      <c r="AN2" s="2"/>
      <c r="AO2" s="2"/>
      <c r="AP2" s="2"/>
      <c r="AQ2" s="2"/>
      <c r="AR2" s="2"/>
      <c r="AS2" s="2"/>
      <c r="AT2" s="374"/>
      <c r="AU2" s="173"/>
      <c r="AV2" s="371"/>
      <c r="AW2" s="139"/>
    </row>
    <row r="3" spans="1:49" s="11" customFormat="1" ht="12.75" customHeight="1">
      <c r="A3" s="12"/>
      <c r="B3" s="138"/>
      <c r="C3" s="2"/>
      <c r="D3" s="2"/>
      <c r="E3" s="2"/>
      <c r="F3" s="374" t="s">
        <v>286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74" t="s">
        <v>286</v>
      </c>
      <c r="AF3" s="374"/>
      <c r="AG3" s="374" t="s">
        <v>18</v>
      </c>
      <c r="AH3" s="2"/>
      <c r="AI3" s="2"/>
      <c r="AJ3" s="374" t="s">
        <v>18</v>
      </c>
      <c r="AK3" s="2"/>
      <c r="AL3" s="2"/>
      <c r="AM3" s="2"/>
      <c r="AN3" s="2"/>
      <c r="AO3" s="2"/>
      <c r="AP3" s="2"/>
      <c r="AQ3" s="2"/>
      <c r="AR3" s="2"/>
      <c r="AS3" s="2"/>
      <c r="AT3" s="374" t="s">
        <v>286</v>
      </c>
      <c r="AU3" s="173"/>
      <c r="AV3" s="371"/>
      <c r="AW3" s="139"/>
    </row>
    <row r="4" spans="1:49" s="11" customFormat="1" ht="12.75" customHeight="1">
      <c r="A4" s="12"/>
      <c r="B4" s="138"/>
      <c r="C4" s="363" t="s">
        <v>544</v>
      </c>
      <c r="D4" s="363"/>
      <c r="E4" s="363"/>
      <c r="F4" s="332" t="s">
        <v>578</v>
      </c>
      <c r="G4" s="363" t="s">
        <v>555</v>
      </c>
      <c r="H4" s="363"/>
      <c r="I4" s="363"/>
      <c r="J4" s="363" t="s">
        <v>582</v>
      </c>
      <c r="K4" s="363"/>
      <c r="L4" s="363"/>
      <c r="M4" s="363"/>
      <c r="N4" s="363"/>
      <c r="O4" s="363"/>
      <c r="P4" s="363"/>
      <c r="Q4" s="363" t="s">
        <v>545</v>
      </c>
      <c r="R4" s="363"/>
      <c r="S4" s="363"/>
      <c r="T4" s="363"/>
      <c r="U4" s="363" t="s">
        <v>584</v>
      </c>
      <c r="V4" s="363"/>
      <c r="W4" s="363"/>
      <c r="X4" s="363"/>
      <c r="Y4" s="363"/>
      <c r="Z4" s="363" t="s">
        <v>554</v>
      </c>
      <c r="AA4" s="363"/>
      <c r="AB4" s="363"/>
      <c r="AC4" s="363" t="s">
        <v>566</v>
      </c>
      <c r="AD4" s="363"/>
      <c r="AE4" s="332" t="s">
        <v>583</v>
      </c>
      <c r="AF4" s="332" t="s">
        <v>553</v>
      </c>
      <c r="AG4" s="332" t="s">
        <v>558</v>
      </c>
      <c r="AH4" s="363" t="s">
        <v>577</v>
      </c>
      <c r="AI4" s="363"/>
      <c r="AJ4" s="332" t="s">
        <v>579</v>
      </c>
      <c r="AK4" s="363" t="s">
        <v>574</v>
      </c>
      <c r="AL4" s="363"/>
      <c r="AM4" s="363"/>
      <c r="AN4" s="363" t="s">
        <v>556</v>
      </c>
      <c r="AO4" s="363"/>
      <c r="AP4" s="363"/>
      <c r="AQ4" s="363"/>
      <c r="AR4" s="363" t="s">
        <v>580</v>
      </c>
      <c r="AS4" s="363"/>
      <c r="AT4" s="332" t="s">
        <v>576</v>
      </c>
      <c r="AU4" s="173"/>
      <c r="AV4" s="296"/>
      <c r="AW4" s="139"/>
    </row>
    <row r="5" spans="2:48" ht="12.75" customHeight="1">
      <c r="B5" s="141"/>
      <c r="C5" s="21" t="s">
        <v>283</v>
      </c>
      <c r="D5" s="21" t="s">
        <v>284</v>
      </c>
      <c r="E5" s="21" t="s">
        <v>285</v>
      </c>
      <c r="F5" s="297"/>
      <c r="G5" s="21" t="s">
        <v>274</v>
      </c>
      <c r="H5" s="21" t="s">
        <v>275</v>
      </c>
      <c r="I5" s="21" t="s">
        <v>276</v>
      </c>
      <c r="J5" s="21" t="s">
        <v>287</v>
      </c>
      <c r="K5" s="21" t="s">
        <v>288</v>
      </c>
      <c r="L5" s="21" t="s">
        <v>289</v>
      </c>
      <c r="M5" s="21" t="s">
        <v>290</v>
      </c>
      <c r="N5" s="21" t="s">
        <v>291</v>
      </c>
      <c r="O5" s="21" t="s">
        <v>292</v>
      </c>
      <c r="P5" s="21" t="s">
        <v>293</v>
      </c>
      <c r="Q5" s="21" t="s">
        <v>267</v>
      </c>
      <c r="R5" s="21" t="s">
        <v>268</v>
      </c>
      <c r="S5" s="21" t="s">
        <v>269</v>
      </c>
      <c r="T5" s="21" t="s">
        <v>270</v>
      </c>
      <c r="U5" s="21" t="s">
        <v>283</v>
      </c>
      <c r="V5" s="21" t="s">
        <v>284</v>
      </c>
      <c r="W5" s="21" t="s">
        <v>285</v>
      </c>
      <c r="X5" s="21" t="s">
        <v>294</v>
      </c>
      <c r="Y5" s="21" t="s">
        <v>295</v>
      </c>
      <c r="Z5" s="21" t="s">
        <v>271</v>
      </c>
      <c r="AA5" s="21" t="s">
        <v>272</v>
      </c>
      <c r="AB5" s="21" t="s">
        <v>273</v>
      </c>
      <c r="AC5" s="21" t="s">
        <v>281</v>
      </c>
      <c r="AD5" s="21" t="s">
        <v>282</v>
      </c>
      <c r="AE5" s="297"/>
      <c r="AF5" s="21"/>
      <c r="AG5" s="21"/>
      <c r="AH5" s="21" t="s">
        <v>18</v>
      </c>
      <c r="AI5" s="21" t="s">
        <v>19</v>
      </c>
      <c r="AJ5" s="298"/>
      <c r="AK5" s="21" t="s">
        <v>283</v>
      </c>
      <c r="AL5" s="21" t="s">
        <v>284</v>
      </c>
      <c r="AM5" s="21" t="s">
        <v>285</v>
      </c>
      <c r="AN5" s="21" t="s">
        <v>277</v>
      </c>
      <c r="AO5" s="21" t="s">
        <v>278</v>
      </c>
      <c r="AP5" s="21" t="s">
        <v>279</v>
      </c>
      <c r="AQ5" s="21" t="s">
        <v>280</v>
      </c>
      <c r="AR5" s="21" t="s">
        <v>281</v>
      </c>
      <c r="AS5" s="21" t="s">
        <v>282</v>
      </c>
      <c r="AT5" s="297"/>
      <c r="AU5" s="174"/>
      <c r="AV5" s="216" t="str">
        <f>+'5.1. Séreignard.'!AV5</f>
        <v>44 deildir</v>
      </c>
    </row>
    <row r="6" spans="2:48" ht="12.75" customHeight="1">
      <c r="B6" s="141"/>
      <c r="C6" s="21"/>
      <c r="D6" s="21"/>
      <c r="E6" s="21"/>
      <c r="F6" s="297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97"/>
      <c r="AF6" s="21"/>
      <c r="AG6" s="21"/>
      <c r="AH6" s="21"/>
      <c r="AI6" s="21"/>
      <c r="AJ6" s="298"/>
      <c r="AK6" s="21"/>
      <c r="AL6" s="21"/>
      <c r="AM6" s="21"/>
      <c r="AN6" s="21"/>
      <c r="AO6" s="21"/>
      <c r="AP6" s="21"/>
      <c r="AQ6" s="21"/>
      <c r="AR6" s="21"/>
      <c r="AS6" s="21"/>
      <c r="AT6" s="297"/>
      <c r="AU6" s="174"/>
      <c r="AV6" s="216"/>
    </row>
    <row r="7" spans="1:49" s="75" customFormat="1" ht="12.75" customHeight="1">
      <c r="A7" s="79" t="s">
        <v>609</v>
      </c>
      <c r="B7" s="141">
        <v>1</v>
      </c>
      <c r="C7" s="206">
        <v>10.1</v>
      </c>
      <c r="D7" s="206">
        <v>4.9</v>
      </c>
      <c r="E7" s="206">
        <v>4.4</v>
      </c>
      <c r="F7" s="170">
        <v>12.7</v>
      </c>
      <c r="G7" s="208">
        <f>+G70</f>
        <v>7.070648544095448</v>
      </c>
      <c r="H7" s="208">
        <f>+H70</f>
        <v>5.334938434316316</v>
      </c>
      <c r="I7" s="208">
        <f>+I70</f>
        <v>4.678037528192935</v>
      </c>
      <c r="J7" s="206">
        <v>12.2</v>
      </c>
      <c r="K7" s="206">
        <v>10</v>
      </c>
      <c r="L7" s="206">
        <v>8.8</v>
      </c>
      <c r="M7" s="206">
        <v>7.1</v>
      </c>
      <c r="N7" s="206">
        <v>5.4</v>
      </c>
      <c r="O7" s="206">
        <v>9.9</v>
      </c>
      <c r="P7" s="206">
        <v>5.4</v>
      </c>
      <c r="Q7" s="206">
        <v>13.9</v>
      </c>
      <c r="R7" s="206">
        <v>12.6</v>
      </c>
      <c r="S7" s="206">
        <v>6.3</v>
      </c>
      <c r="T7" s="206">
        <v>4.8</v>
      </c>
      <c r="U7" s="206">
        <v>4.2</v>
      </c>
      <c r="V7" s="206">
        <v>6.1</v>
      </c>
      <c r="W7" s="206">
        <v>9.8</v>
      </c>
      <c r="X7" s="206">
        <v>9.4</v>
      </c>
      <c r="Y7" s="206">
        <v>9.1</v>
      </c>
      <c r="Z7" s="206">
        <v>10.1</v>
      </c>
      <c r="AA7" s="206">
        <v>3.9</v>
      </c>
      <c r="AB7" s="206">
        <v>0.9</v>
      </c>
      <c r="AC7" s="206">
        <v>12.2</v>
      </c>
      <c r="AD7" s="206">
        <v>14.1</v>
      </c>
      <c r="AE7" s="170">
        <v>3.6</v>
      </c>
      <c r="AF7" s="206">
        <v>8.3</v>
      </c>
      <c r="AG7" s="206">
        <v>11.3</v>
      </c>
      <c r="AH7" s="170">
        <v>1.5</v>
      </c>
      <c r="AI7" s="170">
        <v>6.2</v>
      </c>
      <c r="AJ7" s="170">
        <v>12.1</v>
      </c>
      <c r="AK7" s="170">
        <v>7.5</v>
      </c>
      <c r="AL7" s="170">
        <v>3.2</v>
      </c>
      <c r="AM7" s="170">
        <v>2.2</v>
      </c>
      <c r="AN7" s="206">
        <v>12.5</v>
      </c>
      <c r="AO7" s="206">
        <v>11.6</v>
      </c>
      <c r="AP7" s="206">
        <v>7.1</v>
      </c>
      <c r="AQ7" s="206">
        <v>4.2</v>
      </c>
      <c r="AR7" s="170">
        <v>3.3</v>
      </c>
      <c r="AS7" s="170">
        <v>8.6</v>
      </c>
      <c r="AT7" s="170">
        <v>8</v>
      </c>
      <c r="AU7" s="175"/>
      <c r="AV7" s="243">
        <f>+AV70</f>
        <v>10.04636767198468</v>
      </c>
      <c r="AW7" s="142"/>
    </row>
    <row r="8" spans="1:49" s="145" customFormat="1" ht="12.75" customHeight="1">
      <c r="A8" s="143" t="s">
        <v>610</v>
      </c>
      <c r="B8" s="141">
        <v>2</v>
      </c>
      <c r="C8" s="170">
        <v>6</v>
      </c>
      <c r="D8" s="170" t="s">
        <v>585</v>
      </c>
      <c r="E8" s="170" t="s">
        <v>313</v>
      </c>
      <c r="F8" s="170">
        <v>9.8</v>
      </c>
      <c r="G8" s="170" t="s">
        <v>311</v>
      </c>
      <c r="H8" s="170" t="s">
        <v>312</v>
      </c>
      <c r="I8" s="170" t="s">
        <v>313</v>
      </c>
      <c r="J8" s="170" t="s">
        <v>586</v>
      </c>
      <c r="K8" s="170" t="s">
        <v>587</v>
      </c>
      <c r="L8" s="170" t="s">
        <v>590</v>
      </c>
      <c r="M8" s="170" t="s">
        <v>591</v>
      </c>
      <c r="N8" s="170" t="s">
        <v>592</v>
      </c>
      <c r="O8" s="170">
        <v>4.8</v>
      </c>
      <c r="P8" s="170">
        <v>6.5</v>
      </c>
      <c r="Q8" s="170">
        <v>6</v>
      </c>
      <c r="R8" s="170">
        <v>7.3</v>
      </c>
      <c r="S8" s="170">
        <v>6.4</v>
      </c>
      <c r="T8" s="170">
        <v>5.4</v>
      </c>
      <c r="U8" s="170" t="s">
        <v>596</v>
      </c>
      <c r="V8" s="170" t="s">
        <v>594</v>
      </c>
      <c r="W8" s="170" t="s">
        <v>596</v>
      </c>
      <c r="X8" s="170" t="s">
        <v>596</v>
      </c>
      <c r="Y8" s="170" t="s">
        <v>596</v>
      </c>
      <c r="Z8" s="170">
        <v>7</v>
      </c>
      <c r="AA8" s="170">
        <v>6.4</v>
      </c>
      <c r="AB8" s="170">
        <v>4.9</v>
      </c>
      <c r="AC8" s="170">
        <v>10.2</v>
      </c>
      <c r="AD8" s="170">
        <v>12.8</v>
      </c>
      <c r="AE8" s="170">
        <v>5.9</v>
      </c>
      <c r="AF8" s="170">
        <v>4.9</v>
      </c>
      <c r="AG8" s="170" t="s">
        <v>314</v>
      </c>
      <c r="AH8" s="170">
        <v>5.2</v>
      </c>
      <c r="AI8" s="171">
        <v>0</v>
      </c>
      <c r="AJ8" s="170">
        <v>16.2</v>
      </c>
      <c r="AK8" s="170">
        <v>7.3</v>
      </c>
      <c r="AL8" s="170" t="s">
        <v>599</v>
      </c>
      <c r="AM8" s="170" t="s">
        <v>598</v>
      </c>
      <c r="AN8" s="170">
        <v>8.4</v>
      </c>
      <c r="AO8" s="170">
        <v>8</v>
      </c>
      <c r="AP8" s="170">
        <v>6.5</v>
      </c>
      <c r="AQ8" s="333" t="s">
        <v>251</v>
      </c>
      <c r="AR8" s="170">
        <v>8</v>
      </c>
      <c r="AS8" s="170">
        <v>10.6</v>
      </c>
      <c r="AT8" s="170">
        <v>8.2</v>
      </c>
      <c r="AU8" s="176"/>
      <c r="AV8" s="216"/>
      <c r="AW8" s="144"/>
    </row>
    <row r="9" spans="1:49" s="145" customFormat="1" ht="12.75" customHeight="1">
      <c r="A9" s="143"/>
      <c r="B9" s="141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0"/>
      <c r="AK9" s="170"/>
      <c r="AL9" s="170"/>
      <c r="AM9" s="170"/>
      <c r="AN9" s="170"/>
      <c r="AO9" s="170"/>
      <c r="AP9" s="170"/>
      <c r="AQ9" s="171"/>
      <c r="AR9" s="170"/>
      <c r="AS9" s="170"/>
      <c r="AT9" s="170"/>
      <c r="AU9" s="177"/>
      <c r="AV9" s="217"/>
      <c r="AW9" s="144"/>
    </row>
    <row r="10" spans="1:57" ht="12.75" customHeight="1">
      <c r="A10" s="47" t="s">
        <v>179</v>
      </c>
      <c r="B10" s="141"/>
      <c r="C10" s="170">
        <v>92.9</v>
      </c>
      <c r="D10" s="170">
        <v>90.6</v>
      </c>
      <c r="E10" s="170">
        <v>0</v>
      </c>
      <c r="F10" s="170">
        <v>53.2</v>
      </c>
      <c r="G10" s="170">
        <v>36.8</v>
      </c>
      <c r="H10" s="170">
        <v>25.7</v>
      </c>
      <c r="I10" s="171">
        <v>0</v>
      </c>
      <c r="J10" s="170">
        <v>40</v>
      </c>
      <c r="K10" s="170">
        <v>30</v>
      </c>
      <c r="L10" s="170">
        <v>20</v>
      </c>
      <c r="M10" s="170">
        <v>10</v>
      </c>
      <c r="N10" s="170">
        <v>0</v>
      </c>
      <c r="O10" s="170">
        <v>35</v>
      </c>
      <c r="P10" s="170">
        <v>0</v>
      </c>
      <c r="Q10" s="170">
        <v>76</v>
      </c>
      <c r="R10" s="170">
        <v>78.5</v>
      </c>
      <c r="S10" s="170">
        <v>63.2</v>
      </c>
      <c r="T10" s="170">
        <v>99.5</v>
      </c>
      <c r="U10" s="170">
        <v>0</v>
      </c>
      <c r="V10" s="170">
        <v>0</v>
      </c>
      <c r="W10" s="170">
        <v>19</v>
      </c>
      <c r="X10" s="170">
        <v>25.2</v>
      </c>
      <c r="Y10" s="170">
        <v>39.5</v>
      </c>
      <c r="Z10" s="170">
        <v>63.5</v>
      </c>
      <c r="AA10" s="170">
        <v>53.7</v>
      </c>
      <c r="AB10" s="170">
        <v>0.2</v>
      </c>
      <c r="AC10" s="170">
        <v>26</v>
      </c>
      <c r="AD10" s="170">
        <v>51</v>
      </c>
      <c r="AE10" s="170">
        <v>39.5</v>
      </c>
      <c r="AF10" s="170">
        <v>100</v>
      </c>
      <c r="AG10" s="170">
        <v>100</v>
      </c>
      <c r="AH10" s="170">
        <v>99.2</v>
      </c>
      <c r="AI10" s="170">
        <v>96.8</v>
      </c>
      <c r="AJ10" s="170">
        <v>80.9</v>
      </c>
      <c r="AK10" s="170">
        <v>81.6</v>
      </c>
      <c r="AL10" s="170">
        <v>99.3</v>
      </c>
      <c r="AM10" s="170">
        <v>100</v>
      </c>
      <c r="AN10" s="170">
        <v>87.5</v>
      </c>
      <c r="AO10" s="170">
        <v>83.1</v>
      </c>
      <c r="AP10" s="170">
        <v>91.4</v>
      </c>
      <c r="AQ10" s="171">
        <v>0</v>
      </c>
      <c r="AR10" s="170">
        <v>41.3</v>
      </c>
      <c r="AS10" s="170">
        <v>61.3</v>
      </c>
      <c r="AT10" s="170">
        <v>84.4</v>
      </c>
      <c r="AU10" s="178"/>
      <c r="AV10" s="218">
        <f aca="true" t="shared" si="0" ref="AV10:AV15">+AV88/$AV$94*100</f>
        <v>66.81733081428943</v>
      </c>
      <c r="AW10" s="71"/>
      <c r="AX10" s="71"/>
      <c r="AY10" s="71"/>
      <c r="AZ10" s="71"/>
      <c r="BA10" s="71"/>
      <c r="BB10" s="71"/>
      <c r="BC10" s="71"/>
      <c r="BD10" s="71"/>
      <c r="BE10" s="71"/>
    </row>
    <row r="11" spans="1:57" ht="12.75" customHeight="1">
      <c r="A11" s="6" t="s">
        <v>180</v>
      </c>
      <c r="B11" s="141"/>
      <c r="C11" s="170">
        <v>6.7</v>
      </c>
      <c r="D11" s="170">
        <v>9.2</v>
      </c>
      <c r="E11" s="170">
        <v>0</v>
      </c>
      <c r="F11" s="170">
        <v>28.3</v>
      </c>
      <c r="G11" s="170">
        <v>50</v>
      </c>
      <c r="H11" s="170">
        <v>67.9</v>
      </c>
      <c r="I11" s="171">
        <v>0</v>
      </c>
      <c r="J11" s="170">
        <v>52.1</v>
      </c>
      <c r="K11" s="170">
        <v>60.8</v>
      </c>
      <c r="L11" s="170">
        <v>69.4</v>
      </c>
      <c r="M11" s="170">
        <v>78.1</v>
      </c>
      <c r="N11" s="170">
        <v>86.8</v>
      </c>
      <c r="O11" s="170">
        <v>56.4</v>
      </c>
      <c r="P11" s="170">
        <v>86.8</v>
      </c>
      <c r="Q11" s="170">
        <v>20.8</v>
      </c>
      <c r="R11" s="170">
        <v>16</v>
      </c>
      <c r="S11" s="170">
        <v>23.1</v>
      </c>
      <c r="T11" s="171">
        <v>0</v>
      </c>
      <c r="U11" s="170">
        <v>0</v>
      </c>
      <c r="V11" s="170">
        <v>26.3</v>
      </c>
      <c r="W11" s="170">
        <v>15.2</v>
      </c>
      <c r="X11" s="170">
        <v>47.1</v>
      </c>
      <c r="Y11" s="170">
        <v>40</v>
      </c>
      <c r="Z11" s="170">
        <v>35</v>
      </c>
      <c r="AA11" s="170">
        <v>44.5</v>
      </c>
      <c r="AB11" s="170">
        <v>84.8</v>
      </c>
      <c r="AC11" s="170">
        <v>74</v>
      </c>
      <c r="AD11" s="170">
        <v>49</v>
      </c>
      <c r="AE11" s="170">
        <v>60.5</v>
      </c>
      <c r="AF11" s="170">
        <v>0</v>
      </c>
      <c r="AG11" s="171">
        <v>0</v>
      </c>
      <c r="AH11" s="171">
        <v>0</v>
      </c>
      <c r="AI11" s="171">
        <v>0</v>
      </c>
      <c r="AJ11" s="170">
        <v>19.1</v>
      </c>
      <c r="AK11" s="170">
        <v>17.6</v>
      </c>
      <c r="AL11" s="171">
        <v>0</v>
      </c>
      <c r="AM11" s="171">
        <v>0</v>
      </c>
      <c r="AN11" s="170">
        <v>1.7</v>
      </c>
      <c r="AO11" s="170">
        <v>4.7</v>
      </c>
      <c r="AP11" s="170">
        <v>2.1</v>
      </c>
      <c r="AQ11" s="171">
        <v>0</v>
      </c>
      <c r="AR11" s="170">
        <v>58.7</v>
      </c>
      <c r="AS11" s="170">
        <v>38.7</v>
      </c>
      <c r="AT11" s="170">
        <v>3.8</v>
      </c>
      <c r="AU11" s="179"/>
      <c r="AV11" s="218">
        <f t="shared" si="0"/>
        <v>25.18356425442351</v>
      </c>
      <c r="AW11" s="71"/>
      <c r="AX11" s="71"/>
      <c r="AY11" s="71"/>
      <c r="AZ11" s="71"/>
      <c r="BA11" s="71"/>
      <c r="BB11" s="71"/>
      <c r="BC11" s="71"/>
      <c r="BD11" s="71"/>
      <c r="BE11" s="71"/>
    </row>
    <row r="12" spans="1:57" ht="12.75" customHeight="1">
      <c r="A12" s="6" t="s">
        <v>181</v>
      </c>
      <c r="B12" s="141"/>
      <c r="C12" s="170">
        <v>0.4</v>
      </c>
      <c r="D12" s="170">
        <v>0.2</v>
      </c>
      <c r="E12" s="170">
        <v>0</v>
      </c>
      <c r="F12" s="170">
        <v>2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0">
        <v>0</v>
      </c>
      <c r="O12" s="171">
        <v>0</v>
      </c>
      <c r="P12" s="170">
        <v>0</v>
      </c>
      <c r="Q12" s="170">
        <v>0</v>
      </c>
      <c r="R12" s="170">
        <v>0</v>
      </c>
      <c r="S12" s="170">
        <v>0</v>
      </c>
      <c r="T12" s="171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5.5</v>
      </c>
      <c r="Z12" s="170">
        <v>0.1</v>
      </c>
      <c r="AA12" s="170">
        <v>0</v>
      </c>
      <c r="AB12" s="170">
        <v>0</v>
      </c>
      <c r="AC12" s="171">
        <v>0</v>
      </c>
      <c r="AD12" s="171">
        <v>0</v>
      </c>
      <c r="AE12" s="171">
        <v>0</v>
      </c>
      <c r="AF12" s="170">
        <v>0</v>
      </c>
      <c r="AG12" s="171">
        <v>0</v>
      </c>
      <c r="AH12" s="170">
        <v>0.8</v>
      </c>
      <c r="AI12" s="170">
        <v>3.2</v>
      </c>
      <c r="AJ12" s="171">
        <v>0</v>
      </c>
      <c r="AK12" s="170">
        <v>0.8</v>
      </c>
      <c r="AL12" s="170">
        <v>0.7</v>
      </c>
      <c r="AM12" s="171">
        <v>0</v>
      </c>
      <c r="AN12" s="170">
        <v>9.7</v>
      </c>
      <c r="AO12" s="170">
        <v>10.7</v>
      </c>
      <c r="AP12" s="170">
        <v>5.6</v>
      </c>
      <c r="AQ12" s="171">
        <v>0</v>
      </c>
      <c r="AR12" s="171">
        <v>0</v>
      </c>
      <c r="AS12" s="171">
        <v>0</v>
      </c>
      <c r="AT12" s="170">
        <v>8.6</v>
      </c>
      <c r="AU12" s="180"/>
      <c r="AV12" s="218">
        <f t="shared" si="0"/>
        <v>1.5002297700194942</v>
      </c>
      <c r="AW12" s="71"/>
      <c r="AX12" s="71"/>
      <c r="AY12" s="71"/>
      <c r="AZ12" s="71"/>
      <c r="BA12" s="71"/>
      <c r="BB12" s="71"/>
      <c r="BC12" s="71"/>
      <c r="BD12" s="71"/>
      <c r="BE12" s="71"/>
    </row>
    <row r="13" spans="1:57" ht="12.75" customHeight="1">
      <c r="A13" s="6" t="s">
        <v>182</v>
      </c>
      <c r="B13" s="141"/>
      <c r="C13" s="171">
        <v>0</v>
      </c>
      <c r="D13" s="171">
        <v>0</v>
      </c>
      <c r="E13" s="171">
        <v>0</v>
      </c>
      <c r="F13" s="170">
        <v>3.2</v>
      </c>
      <c r="G13" s="171">
        <v>0</v>
      </c>
      <c r="H13" s="171">
        <v>0</v>
      </c>
      <c r="I13" s="170">
        <v>100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0">
        <v>0.6</v>
      </c>
      <c r="R13" s="170">
        <v>1</v>
      </c>
      <c r="S13" s="170">
        <v>1.5</v>
      </c>
      <c r="T13" s="171">
        <v>0</v>
      </c>
      <c r="U13" s="170">
        <v>0</v>
      </c>
      <c r="V13" s="170">
        <v>10.7</v>
      </c>
      <c r="W13" s="170">
        <v>6.2</v>
      </c>
      <c r="X13" s="170">
        <v>3.5</v>
      </c>
      <c r="Y13" s="170">
        <v>2</v>
      </c>
      <c r="Z13" s="170">
        <v>0.7</v>
      </c>
      <c r="AA13" s="170">
        <v>1.8</v>
      </c>
      <c r="AB13" s="170">
        <v>3.8</v>
      </c>
      <c r="AC13" s="171">
        <v>0</v>
      </c>
      <c r="AD13" s="171">
        <v>0</v>
      </c>
      <c r="AE13" s="171">
        <v>0</v>
      </c>
      <c r="AF13" s="170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0">
        <v>0.8</v>
      </c>
      <c r="AO13" s="170">
        <v>1.4</v>
      </c>
      <c r="AP13" s="170">
        <v>0.8</v>
      </c>
      <c r="AQ13" s="171">
        <v>0</v>
      </c>
      <c r="AR13" s="171">
        <v>0</v>
      </c>
      <c r="AS13" s="171">
        <v>0</v>
      </c>
      <c r="AT13" s="170">
        <v>0.9</v>
      </c>
      <c r="AU13" s="180"/>
      <c r="AV13" s="218">
        <f t="shared" si="0"/>
        <v>1.0209972035491464</v>
      </c>
      <c r="AW13" s="71"/>
      <c r="AX13" s="71"/>
      <c r="AY13" s="71"/>
      <c r="AZ13" s="71"/>
      <c r="BA13" s="71"/>
      <c r="BB13" s="71"/>
      <c r="BC13" s="71"/>
      <c r="BD13" s="71"/>
      <c r="BE13" s="71"/>
    </row>
    <row r="14" spans="1:57" ht="12.75" customHeight="1">
      <c r="A14" s="6" t="s">
        <v>183</v>
      </c>
      <c r="B14" s="141"/>
      <c r="C14" s="171">
        <v>0</v>
      </c>
      <c r="D14" s="171">
        <v>0</v>
      </c>
      <c r="E14" s="171">
        <v>0</v>
      </c>
      <c r="F14" s="170">
        <v>13.3</v>
      </c>
      <c r="G14" s="171">
        <v>0</v>
      </c>
      <c r="H14" s="171">
        <v>0</v>
      </c>
      <c r="I14" s="171">
        <v>0</v>
      </c>
      <c r="J14" s="170">
        <v>7.9</v>
      </c>
      <c r="K14" s="170">
        <v>9.2</v>
      </c>
      <c r="L14" s="170">
        <v>10.6</v>
      </c>
      <c r="M14" s="170">
        <v>11.9</v>
      </c>
      <c r="N14" s="170">
        <v>13.2</v>
      </c>
      <c r="O14" s="170">
        <v>8.6</v>
      </c>
      <c r="P14" s="170">
        <v>13.2</v>
      </c>
      <c r="Q14" s="170">
        <v>2.6</v>
      </c>
      <c r="R14" s="170">
        <v>4.5</v>
      </c>
      <c r="S14" s="170">
        <v>12.2</v>
      </c>
      <c r="T14" s="171">
        <v>0</v>
      </c>
      <c r="U14" s="170">
        <v>0</v>
      </c>
      <c r="V14" s="170">
        <v>55.9</v>
      </c>
      <c r="W14" s="170">
        <v>32.3</v>
      </c>
      <c r="X14" s="170">
        <v>0</v>
      </c>
      <c r="Y14" s="170">
        <v>12.8</v>
      </c>
      <c r="Z14" s="170">
        <v>0.7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0">
        <v>0</v>
      </c>
      <c r="AG14" s="171">
        <v>0</v>
      </c>
      <c r="AH14" s="171">
        <v>0</v>
      </c>
      <c r="AI14" s="171">
        <v>0</v>
      </c>
      <c r="AJ14" s="171">
        <v>0</v>
      </c>
      <c r="AK14" s="171">
        <v>0</v>
      </c>
      <c r="AL14" s="171">
        <v>0</v>
      </c>
      <c r="AM14" s="171">
        <v>0</v>
      </c>
      <c r="AN14" s="171">
        <v>0</v>
      </c>
      <c r="AO14" s="171">
        <v>0</v>
      </c>
      <c r="AP14" s="171">
        <v>0</v>
      </c>
      <c r="AQ14" s="171">
        <v>0</v>
      </c>
      <c r="AR14" s="171">
        <v>0</v>
      </c>
      <c r="AS14" s="171">
        <v>0</v>
      </c>
      <c r="AT14" s="170">
        <v>2.3</v>
      </c>
      <c r="AU14" s="180"/>
      <c r="AV14" s="218">
        <f t="shared" si="0"/>
        <v>2.977046421846727</v>
      </c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12.75" customHeight="1">
      <c r="A15" s="6" t="s">
        <v>184</v>
      </c>
      <c r="B15" s="141"/>
      <c r="C15" s="171">
        <v>0</v>
      </c>
      <c r="D15" s="171">
        <v>0</v>
      </c>
      <c r="E15" s="170">
        <v>100</v>
      </c>
      <c r="F15" s="170">
        <v>0</v>
      </c>
      <c r="G15" s="170">
        <v>13.2</v>
      </c>
      <c r="H15" s="170">
        <v>6.4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0">
        <v>0.5</v>
      </c>
      <c r="U15" s="170">
        <v>100</v>
      </c>
      <c r="V15" s="170">
        <v>7.1</v>
      </c>
      <c r="W15" s="170">
        <v>27.3</v>
      </c>
      <c r="X15" s="170">
        <v>24.2</v>
      </c>
      <c r="Y15" s="170">
        <v>0.2</v>
      </c>
      <c r="Z15" s="171">
        <v>0</v>
      </c>
      <c r="AA15" s="171">
        <v>0</v>
      </c>
      <c r="AB15" s="170">
        <v>11.2</v>
      </c>
      <c r="AC15" s="171">
        <v>0</v>
      </c>
      <c r="AD15" s="171">
        <v>0</v>
      </c>
      <c r="AE15" s="171">
        <v>0</v>
      </c>
      <c r="AF15" s="170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0">
        <v>0.3</v>
      </c>
      <c r="AO15" s="170">
        <v>0.1</v>
      </c>
      <c r="AP15" s="170">
        <v>0.1</v>
      </c>
      <c r="AQ15" s="170">
        <v>100</v>
      </c>
      <c r="AR15" s="171">
        <v>0</v>
      </c>
      <c r="AS15" s="171">
        <v>0</v>
      </c>
      <c r="AT15" s="171">
        <v>0</v>
      </c>
      <c r="AU15" s="180"/>
      <c r="AV15" s="218">
        <f t="shared" si="0"/>
        <v>2.5008315358716886</v>
      </c>
      <c r="AW15" s="71"/>
      <c r="AX15" s="71"/>
      <c r="AY15" s="71"/>
      <c r="AZ15" s="71"/>
      <c r="BA15" s="71"/>
      <c r="BB15" s="71"/>
      <c r="BC15" s="71"/>
      <c r="BD15" s="71"/>
      <c r="BE15" s="71"/>
    </row>
    <row r="16" spans="1:49" s="149" customFormat="1" ht="12.75" customHeight="1">
      <c r="A16" s="147" t="s">
        <v>185</v>
      </c>
      <c r="B16" s="141">
        <v>3</v>
      </c>
      <c r="C16" s="172">
        <f aca="true" t="shared" si="1" ref="C16:AT16">SUM(C10:C15)</f>
        <v>100.00000000000001</v>
      </c>
      <c r="D16" s="172">
        <f t="shared" si="1"/>
        <v>100</v>
      </c>
      <c r="E16" s="172">
        <f t="shared" si="1"/>
        <v>100</v>
      </c>
      <c r="F16" s="172">
        <f t="shared" si="1"/>
        <v>100</v>
      </c>
      <c r="G16" s="172">
        <f t="shared" si="1"/>
        <v>100</v>
      </c>
      <c r="H16" s="172">
        <f t="shared" si="1"/>
        <v>100.00000000000001</v>
      </c>
      <c r="I16" s="172">
        <f t="shared" si="1"/>
        <v>100</v>
      </c>
      <c r="J16" s="172">
        <f t="shared" si="1"/>
        <v>100</v>
      </c>
      <c r="K16" s="172">
        <f t="shared" si="1"/>
        <v>100</v>
      </c>
      <c r="L16" s="172">
        <f t="shared" si="1"/>
        <v>100</v>
      </c>
      <c r="M16" s="172">
        <f t="shared" si="1"/>
        <v>100</v>
      </c>
      <c r="N16" s="172">
        <f t="shared" si="1"/>
        <v>100</v>
      </c>
      <c r="O16" s="172">
        <f t="shared" si="1"/>
        <v>100</v>
      </c>
      <c r="P16" s="172">
        <f t="shared" si="1"/>
        <v>100</v>
      </c>
      <c r="Q16" s="172">
        <f t="shared" si="1"/>
        <v>99.99999999999999</v>
      </c>
      <c r="R16" s="172">
        <f t="shared" si="1"/>
        <v>100</v>
      </c>
      <c r="S16" s="172">
        <f t="shared" si="1"/>
        <v>100.00000000000001</v>
      </c>
      <c r="T16" s="172">
        <f t="shared" si="1"/>
        <v>100</v>
      </c>
      <c r="U16" s="172">
        <f t="shared" si="1"/>
        <v>100</v>
      </c>
      <c r="V16" s="172">
        <f t="shared" si="1"/>
        <v>100</v>
      </c>
      <c r="W16" s="172">
        <f t="shared" si="1"/>
        <v>100</v>
      </c>
      <c r="X16" s="172">
        <f t="shared" si="1"/>
        <v>100</v>
      </c>
      <c r="Y16" s="172">
        <f t="shared" si="1"/>
        <v>100</v>
      </c>
      <c r="Z16" s="172">
        <f t="shared" si="1"/>
        <v>100</v>
      </c>
      <c r="AA16" s="172">
        <f t="shared" si="1"/>
        <v>100</v>
      </c>
      <c r="AB16" s="172">
        <f t="shared" si="1"/>
        <v>100</v>
      </c>
      <c r="AC16" s="172">
        <f t="shared" si="1"/>
        <v>100</v>
      </c>
      <c r="AD16" s="172">
        <f t="shared" si="1"/>
        <v>100</v>
      </c>
      <c r="AE16" s="172">
        <f t="shared" si="1"/>
        <v>100</v>
      </c>
      <c r="AF16" s="172">
        <f t="shared" si="1"/>
        <v>100</v>
      </c>
      <c r="AG16" s="172">
        <f t="shared" si="1"/>
        <v>100</v>
      </c>
      <c r="AH16" s="172">
        <f t="shared" si="1"/>
        <v>100</v>
      </c>
      <c r="AI16" s="172">
        <f t="shared" si="1"/>
        <v>100</v>
      </c>
      <c r="AJ16" s="172">
        <f t="shared" si="1"/>
        <v>100</v>
      </c>
      <c r="AK16" s="172">
        <f t="shared" si="1"/>
        <v>99.99999999999999</v>
      </c>
      <c r="AL16" s="172">
        <f t="shared" si="1"/>
        <v>100</v>
      </c>
      <c r="AM16" s="172">
        <f t="shared" si="1"/>
        <v>100</v>
      </c>
      <c r="AN16" s="172">
        <f t="shared" si="1"/>
        <v>100</v>
      </c>
      <c r="AO16" s="172">
        <f t="shared" si="1"/>
        <v>100</v>
      </c>
      <c r="AP16" s="172">
        <f t="shared" si="1"/>
        <v>99.99999999999999</v>
      </c>
      <c r="AQ16" s="172">
        <f t="shared" si="1"/>
        <v>100</v>
      </c>
      <c r="AR16" s="172">
        <f t="shared" si="1"/>
        <v>100</v>
      </c>
      <c r="AS16" s="172">
        <f t="shared" si="1"/>
        <v>100</v>
      </c>
      <c r="AT16" s="172">
        <f t="shared" si="1"/>
        <v>100</v>
      </c>
      <c r="AU16" s="180"/>
      <c r="AV16" s="239">
        <f>SUM(AV10:AV15)</f>
        <v>99.99999999999997</v>
      </c>
      <c r="AW16" s="148"/>
    </row>
    <row r="17" spans="1:49" s="149" customFormat="1" ht="12.75" customHeight="1">
      <c r="A17" s="147"/>
      <c r="B17" s="141"/>
      <c r="C17" s="171"/>
      <c r="D17" s="171"/>
      <c r="E17" s="170"/>
      <c r="F17" s="170"/>
      <c r="G17" s="170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0"/>
      <c r="U17" s="170"/>
      <c r="V17" s="170"/>
      <c r="W17" s="170"/>
      <c r="X17" s="170"/>
      <c r="Y17" s="170"/>
      <c r="Z17" s="171"/>
      <c r="AA17" s="171"/>
      <c r="AB17" s="170"/>
      <c r="AC17" s="171"/>
      <c r="AD17" s="171"/>
      <c r="AE17" s="171"/>
      <c r="AF17" s="170"/>
      <c r="AG17" s="171"/>
      <c r="AH17" s="171"/>
      <c r="AI17" s="171"/>
      <c r="AJ17" s="171"/>
      <c r="AK17" s="171"/>
      <c r="AL17" s="171"/>
      <c r="AM17" s="171"/>
      <c r="AN17" s="170"/>
      <c r="AO17" s="170"/>
      <c r="AP17" s="170"/>
      <c r="AQ17" s="170"/>
      <c r="AR17" s="171"/>
      <c r="AS17" s="171"/>
      <c r="AT17" s="171"/>
      <c r="AU17" s="180"/>
      <c r="AV17" s="218"/>
      <c r="AW17" s="148"/>
    </row>
    <row r="18" spans="1:54" ht="12.75" customHeight="1">
      <c r="A18" s="47" t="s">
        <v>186</v>
      </c>
      <c r="B18" s="141"/>
      <c r="C18" s="170">
        <v>66</v>
      </c>
      <c r="D18" s="170">
        <v>79.3</v>
      </c>
      <c r="E18" s="170">
        <v>100</v>
      </c>
      <c r="F18" s="170">
        <v>65.2</v>
      </c>
      <c r="G18" s="170">
        <v>76</v>
      </c>
      <c r="H18" s="170">
        <v>83</v>
      </c>
      <c r="I18" s="170">
        <v>100</v>
      </c>
      <c r="J18" s="170">
        <v>70</v>
      </c>
      <c r="K18" s="170">
        <v>80</v>
      </c>
      <c r="L18" s="170">
        <v>85</v>
      </c>
      <c r="M18" s="170">
        <v>92.5</v>
      </c>
      <c r="N18" s="170">
        <v>100</v>
      </c>
      <c r="O18" s="170">
        <v>75</v>
      </c>
      <c r="P18" s="170">
        <v>100</v>
      </c>
      <c r="Q18" s="170">
        <v>59.1</v>
      </c>
      <c r="R18" s="170">
        <v>63.1</v>
      </c>
      <c r="S18" s="170">
        <v>81.7</v>
      </c>
      <c r="T18" s="170">
        <v>100</v>
      </c>
      <c r="U18" s="170">
        <v>100</v>
      </c>
      <c r="V18" s="170">
        <v>96.1</v>
      </c>
      <c r="W18" s="170">
        <v>95.8</v>
      </c>
      <c r="X18" s="170">
        <v>98</v>
      </c>
      <c r="Y18" s="170">
        <v>81</v>
      </c>
      <c r="Z18" s="170">
        <v>62.5</v>
      </c>
      <c r="AA18" s="170">
        <v>85.9</v>
      </c>
      <c r="AB18" s="170">
        <v>100</v>
      </c>
      <c r="AC18" s="170">
        <v>84</v>
      </c>
      <c r="AD18" s="170">
        <v>68</v>
      </c>
      <c r="AE18" s="170">
        <v>73.8</v>
      </c>
      <c r="AF18" s="170">
        <v>70.1</v>
      </c>
      <c r="AG18" s="170">
        <v>64</v>
      </c>
      <c r="AH18" s="170">
        <v>100</v>
      </c>
      <c r="AI18" s="170">
        <v>72.1</v>
      </c>
      <c r="AJ18" s="170">
        <v>94.6</v>
      </c>
      <c r="AK18" s="171">
        <v>77.14</v>
      </c>
      <c r="AL18" s="171">
        <v>83.11</v>
      </c>
      <c r="AM18" s="171">
        <v>91.67</v>
      </c>
      <c r="AN18" s="170">
        <v>77.1</v>
      </c>
      <c r="AO18" s="170">
        <v>83.1</v>
      </c>
      <c r="AP18" s="170">
        <v>91.7</v>
      </c>
      <c r="AQ18" s="170">
        <v>100</v>
      </c>
      <c r="AR18" s="170">
        <v>73.7</v>
      </c>
      <c r="AS18" s="170">
        <v>58.5</v>
      </c>
      <c r="AT18" s="170">
        <v>78.3</v>
      </c>
      <c r="AU18" s="181"/>
      <c r="AV18" s="218">
        <f>+AV98/AV86*100</f>
        <v>70.58085713929232</v>
      </c>
      <c r="AW18" s="71"/>
      <c r="AX18" s="71"/>
      <c r="AY18" s="71"/>
      <c r="AZ18" s="71"/>
      <c r="BA18" s="71"/>
      <c r="BB18" s="71"/>
    </row>
    <row r="19" spans="1:54" ht="12.75" customHeight="1">
      <c r="A19" s="6" t="s">
        <v>187</v>
      </c>
      <c r="B19" s="141"/>
      <c r="C19" s="170">
        <v>34</v>
      </c>
      <c r="D19" s="170">
        <v>20.7</v>
      </c>
      <c r="E19" s="171">
        <v>0</v>
      </c>
      <c r="F19" s="170">
        <v>34.8</v>
      </c>
      <c r="G19" s="170">
        <v>24</v>
      </c>
      <c r="H19" s="170">
        <v>17</v>
      </c>
      <c r="I19" s="170">
        <v>0</v>
      </c>
      <c r="J19" s="170">
        <v>30</v>
      </c>
      <c r="K19" s="170">
        <v>20</v>
      </c>
      <c r="L19" s="170">
        <v>15</v>
      </c>
      <c r="M19" s="170">
        <v>7.5</v>
      </c>
      <c r="N19" s="171">
        <v>0</v>
      </c>
      <c r="O19" s="170">
        <v>25</v>
      </c>
      <c r="P19" s="171">
        <v>0</v>
      </c>
      <c r="Q19" s="170">
        <v>40.9</v>
      </c>
      <c r="R19" s="170">
        <v>36.9</v>
      </c>
      <c r="S19" s="170">
        <v>18.3</v>
      </c>
      <c r="T19" s="170">
        <v>0</v>
      </c>
      <c r="U19" s="170">
        <v>0</v>
      </c>
      <c r="V19" s="170">
        <v>3.9</v>
      </c>
      <c r="W19" s="170">
        <v>4.2</v>
      </c>
      <c r="X19" s="170">
        <v>2</v>
      </c>
      <c r="Y19" s="170">
        <v>19</v>
      </c>
      <c r="Z19" s="170">
        <v>37.5</v>
      </c>
      <c r="AA19" s="170">
        <v>14.1</v>
      </c>
      <c r="AB19" s="171">
        <v>0</v>
      </c>
      <c r="AC19" s="170">
        <v>16</v>
      </c>
      <c r="AD19" s="170">
        <v>32</v>
      </c>
      <c r="AE19" s="170">
        <v>26.2</v>
      </c>
      <c r="AF19" s="170">
        <v>29.9</v>
      </c>
      <c r="AG19" s="170">
        <v>36</v>
      </c>
      <c r="AH19" s="171">
        <v>0</v>
      </c>
      <c r="AI19" s="170">
        <v>27.9</v>
      </c>
      <c r="AJ19" s="170">
        <v>5.4</v>
      </c>
      <c r="AK19" s="171">
        <v>22.86</v>
      </c>
      <c r="AL19" s="171">
        <v>16.89</v>
      </c>
      <c r="AM19" s="171">
        <v>8.33</v>
      </c>
      <c r="AN19" s="170">
        <v>22.9</v>
      </c>
      <c r="AO19" s="170">
        <v>16.9</v>
      </c>
      <c r="AP19" s="170">
        <v>8.3</v>
      </c>
      <c r="AQ19" s="171">
        <v>0</v>
      </c>
      <c r="AR19" s="170">
        <v>26.3</v>
      </c>
      <c r="AS19" s="170">
        <v>41.5</v>
      </c>
      <c r="AT19" s="170">
        <v>21.7</v>
      </c>
      <c r="AU19" s="180"/>
      <c r="AV19" s="218">
        <f>+AV99/AV86*100</f>
        <v>29.41914286070769</v>
      </c>
      <c r="AW19" s="71"/>
      <c r="AX19" s="71"/>
      <c r="AY19" s="71"/>
      <c r="AZ19" s="71"/>
      <c r="BA19" s="71"/>
      <c r="BB19" s="71"/>
    </row>
    <row r="20" spans="1:49" s="149" customFormat="1" ht="12.75" customHeight="1">
      <c r="A20" s="147" t="s">
        <v>302</v>
      </c>
      <c r="B20" s="141">
        <v>4</v>
      </c>
      <c r="C20" s="172">
        <f aca="true" t="shared" si="2" ref="C20:AT20">SUM(C18:C19)</f>
        <v>100</v>
      </c>
      <c r="D20" s="172">
        <f t="shared" si="2"/>
        <v>100</v>
      </c>
      <c r="E20" s="172">
        <f t="shared" si="2"/>
        <v>100</v>
      </c>
      <c r="F20" s="172">
        <f t="shared" si="2"/>
        <v>100</v>
      </c>
      <c r="G20" s="172">
        <f t="shared" si="2"/>
        <v>100</v>
      </c>
      <c r="H20" s="172">
        <f t="shared" si="2"/>
        <v>100</v>
      </c>
      <c r="I20" s="172">
        <f t="shared" si="2"/>
        <v>100</v>
      </c>
      <c r="J20" s="172">
        <f t="shared" si="2"/>
        <v>100</v>
      </c>
      <c r="K20" s="172">
        <f t="shared" si="2"/>
        <v>100</v>
      </c>
      <c r="L20" s="172">
        <f t="shared" si="2"/>
        <v>100</v>
      </c>
      <c r="M20" s="172">
        <f t="shared" si="2"/>
        <v>100</v>
      </c>
      <c r="N20" s="172">
        <f t="shared" si="2"/>
        <v>100</v>
      </c>
      <c r="O20" s="172">
        <f t="shared" si="2"/>
        <v>100</v>
      </c>
      <c r="P20" s="172">
        <f t="shared" si="2"/>
        <v>100</v>
      </c>
      <c r="Q20" s="172">
        <f t="shared" si="2"/>
        <v>100</v>
      </c>
      <c r="R20" s="172">
        <f t="shared" si="2"/>
        <v>100</v>
      </c>
      <c r="S20" s="172">
        <f t="shared" si="2"/>
        <v>100</v>
      </c>
      <c r="T20" s="172">
        <f t="shared" si="2"/>
        <v>100</v>
      </c>
      <c r="U20" s="172">
        <f t="shared" si="2"/>
        <v>100</v>
      </c>
      <c r="V20" s="172">
        <f t="shared" si="2"/>
        <v>100</v>
      </c>
      <c r="W20" s="172">
        <f t="shared" si="2"/>
        <v>100</v>
      </c>
      <c r="X20" s="172">
        <f t="shared" si="2"/>
        <v>100</v>
      </c>
      <c r="Y20" s="172">
        <f t="shared" si="2"/>
        <v>100</v>
      </c>
      <c r="Z20" s="172">
        <f t="shared" si="2"/>
        <v>100</v>
      </c>
      <c r="AA20" s="172">
        <f t="shared" si="2"/>
        <v>100</v>
      </c>
      <c r="AB20" s="172">
        <f t="shared" si="2"/>
        <v>100</v>
      </c>
      <c r="AC20" s="172">
        <f t="shared" si="2"/>
        <v>100</v>
      </c>
      <c r="AD20" s="172">
        <f t="shared" si="2"/>
        <v>100</v>
      </c>
      <c r="AE20" s="172">
        <f t="shared" si="2"/>
        <v>100</v>
      </c>
      <c r="AF20" s="172">
        <f t="shared" si="2"/>
        <v>100</v>
      </c>
      <c r="AG20" s="172">
        <f t="shared" si="2"/>
        <v>100</v>
      </c>
      <c r="AH20" s="172">
        <f t="shared" si="2"/>
        <v>100</v>
      </c>
      <c r="AI20" s="172">
        <f t="shared" si="2"/>
        <v>100</v>
      </c>
      <c r="AJ20" s="172">
        <f t="shared" si="2"/>
        <v>100</v>
      </c>
      <c r="AK20" s="172">
        <f t="shared" si="2"/>
        <v>100</v>
      </c>
      <c r="AL20" s="172">
        <f t="shared" si="2"/>
        <v>100</v>
      </c>
      <c r="AM20" s="172">
        <f t="shared" si="2"/>
        <v>100</v>
      </c>
      <c r="AN20" s="172">
        <f t="shared" si="2"/>
        <v>100</v>
      </c>
      <c r="AO20" s="172">
        <f t="shared" si="2"/>
        <v>100</v>
      </c>
      <c r="AP20" s="172">
        <f t="shared" si="2"/>
        <v>100</v>
      </c>
      <c r="AQ20" s="172">
        <f t="shared" si="2"/>
        <v>100</v>
      </c>
      <c r="AR20" s="172">
        <f t="shared" si="2"/>
        <v>100</v>
      </c>
      <c r="AS20" s="172">
        <f t="shared" si="2"/>
        <v>100</v>
      </c>
      <c r="AT20" s="172">
        <f t="shared" si="2"/>
        <v>100</v>
      </c>
      <c r="AU20" s="180"/>
      <c r="AV20" s="239">
        <f>SUM(AV18:AV19)</f>
        <v>100.00000000000001</v>
      </c>
      <c r="AW20" s="148"/>
    </row>
    <row r="21" spans="1:49" s="149" customFormat="1" ht="12.75" customHeight="1">
      <c r="A21" s="147"/>
      <c r="B21" s="141"/>
      <c r="C21" s="170"/>
      <c r="D21" s="170"/>
      <c r="E21" s="171"/>
      <c r="F21" s="170"/>
      <c r="G21" s="170"/>
      <c r="H21" s="170"/>
      <c r="I21" s="170"/>
      <c r="J21" s="170"/>
      <c r="K21" s="170"/>
      <c r="L21" s="170"/>
      <c r="M21" s="170"/>
      <c r="N21" s="171"/>
      <c r="O21" s="170"/>
      <c r="P21" s="171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  <c r="AC21" s="170"/>
      <c r="AD21" s="170"/>
      <c r="AE21" s="170"/>
      <c r="AF21" s="170"/>
      <c r="AG21" s="170"/>
      <c r="AH21" s="171"/>
      <c r="AI21" s="170"/>
      <c r="AJ21" s="170"/>
      <c r="AK21" s="171"/>
      <c r="AL21" s="171"/>
      <c r="AM21" s="171"/>
      <c r="AN21" s="170"/>
      <c r="AO21" s="170"/>
      <c r="AP21" s="170"/>
      <c r="AQ21" s="171"/>
      <c r="AR21" s="170"/>
      <c r="AS21" s="170"/>
      <c r="AT21" s="170"/>
      <c r="AU21" s="181"/>
      <c r="AV21" s="219"/>
      <c r="AW21" s="148"/>
    </row>
    <row r="22" spans="1:49" s="52" customFormat="1" ht="12.75" customHeight="1">
      <c r="A22" s="6" t="s">
        <v>189</v>
      </c>
      <c r="B22" s="141">
        <v>5</v>
      </c>
      <c r="C22" s="348">
        <v>2296</v>
      </c>
      <c r="D22" s="348">
        <v>831</v>
      </c>
      <c r="E22" s="348">
        <v>277</v>
      </c>
      <c r="F22" s="348">
        <v>3025</v>
      </c>
      <c r="G22" s="348">
        <v>474</v>
      </c>
      <c r="H22" s="348">
        <v>893</v>
      </c>
      <c r="I22" s="348">
        <v>7</v>
      </c>
      <c r="J22" s="348">
        <v>85</v>
      </c>
      <c r="K22" s="348">
        <v>139</v>
      </c>
      <c r="L22" s="348">
        <v>83</v>
      </c>
      <c r="M22" s="348">
        <v>90</v>
      </c>
      <c r="N22" s="348">
        <v>5</v>
      </c>
      <c r="O22" s="348">
        <v>155</v>
      </c>
      <c r="P22" s="348">
        <v>2032</v>
      </c>
      <c r="Q22" s="349">
        <v>0</v>
      </c>
      <c r="R22" s="349">
        <v>0</v>
      </c>
      <c r="S22" s="349">
        <v>0</v>
      </c>
      <c r="T22" s="349">
        <v>0</v>
      </c>
      <c r="U22" s="348">
        <v>25</v>
      </c>
      <c r="V22" s="348">
        <v>563</v>
      </c>
      <c r="W22" s="348">
        <v>56</v>
      </c>
      <c r="X22" s="348">
        <v>189</v>
      </c>
      <c r="Y22" s="348">
        <v>2673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8">
        <v>103</v>
      </c>
      <c r="AG22" s="349">
        <v>0</v>
      </c>
      <c r="AH22" s="348">
        <v>1795</v>
      </c>
      <c r="AI22" s="348">
        <v>185</v>
      </c>
      <c r="AJ22" s="348">
        <v>193</v>
      </c>
      <c r="AK22" s="348">
        <v>411</v>
      </c>
      <c r="AL22" s="348">
        <v>89</v>
      </c>
      <c r="AM22" s="348">
        <v>50</v>
      </c>
      <c r="AN22" s="348">
        <v>15573</v>
      </c>
      <c r="AO22" s="348">
        <v>4250</v>
      </c>
      <c r="AP22" s="348">
        <v>2513</v>
      </c>
      <c r="AQ22" s="348">
        <v>3048</v>
      </c>
      <c r="AR22" s="348">
        <v>34</v>
      </c>
      <c r="AS22" s="348">
        <v>81</v>
      </c>
      <c r="AT22" s="348">
        <v>348</v>
      </c>
      <c r="AU22" s="181"/>
      <c r="AV22" s="219">
        <f>SUM(C22:AT22)</f>
        <v>42571</v>
      </c>
      <c r="AW22" s="59"/>
    </row>
    <row r="23" spans="1:49" s="52" customFormat="1" ht="12.75" customHeight="1">
      <c r="A23" s="6" t="s">
        <v>190</v>
      </c>
      <c r="B23" s="141">
        <v>6</v>
      </c>
      <c r="C23" s="170">
        <v>10.6</v>
      </c>
      <c r="D23" s="170">
        <v>6.9</v>
      </c>
      <c r="E23" s="170">
        <v>20.3</v>
      </c>
      <c r="F23" s="170">
        <v>27</v>
      </c>
      <c r="G23" s="170">
        <v>12</v>
      </c>
      <c r="H23" s="170">
        <v>186</v>
      </c>
      <c r="I23" s="170">
        <v>3</v>
      </c>
      <c r="J23" s="170">
        <v>0</v>
      </c>
      <c r="K23" s="170">
        <v>0</v>
      </c>
      <c r="L23" s="170">
        <v>0</v>
      </c>
      <c r="M23" s="170">
        <v>0</v>
      </c>
      <c r="N23" s="170">
        <v>1</v>
      </c>
      <c r="O23" s="170">
        <v>4</v>
      </c>
      <c r="P23" s="170">
        <v>11</v>
      </c>
      <c r="Q23" s="171">
        <v>0</v>
      </c>
      <c r="R23" s="171">
        <v>0</v>
      </c>
      <c r="S23" s="171">
        <v>0</v>
      </c>
      <c r="T23" s="171">
        <v>0</v>
      </c>
      <c r="U23" s="170">
        <v>0</v>
      </c>
      <c r="V23" s="170">
        <v>7</v>
      </c>
      <c r="W23" s="170">
        <v>4</v>
      </c>
      <c r="X23" s="170">
        <v>3</v>
      </c>
      <c r="Y23" s="170">
        <v>33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0">
        <v>1</v>
      </c>
      <c r="AG23" s="171">
        <v>0</v>
      </c>
      <c r="AH23" s="170">
        <v>8</v>
      </c>
      <c r="AI23" s="170">
        <v>0</v>
      </c>
      <c r="AJ23" s="170">
        <v>7</v>
      </c>
      <c r="AK23" s="171">
        <v>0</v>
      </c>
      <c r="AL23" s="171">
        <v>0</v>
      </c>
      <c r="AM23" s="171">
        <v>0</v>
      </c>
      <c r="AN23" s="170">
        <v>26</v>
      </c>
      <c r="AO23" s="170">
        <v>83</v>
      </c>
      <c r="AP23" s="170">
        <v>194</v>
      </c>
      <c r="AQ23" s="170">
        <v>169</v>
      </c>
      <c r="AR23" s="170">
        <v>3</v>
      </c>
      <c r="AS23" s="171">
        <v>0</v>
      </c>
      <c r="AT23" s="170">
        <v>30</v>
      </c>
      <c r="AU23" s="181"/>
      <c r="AV23" s="219">
        <f>SUM(C23:AT23)</f>
        <v>849.8</v>
      </c>
      <c r="AW23" s="59"/>
    </row>
    <row r="24" spans="1:49" ht="12.75" customHeight="1">
      <c r="A24" s="6"/>
      <c r="B24" s="141"/>
      <c r="AF24" s="32"/>
      <c r="AJ24" s="32"/>
      <c r="AR24" s="32"/>
      <c r="AS24" s="32"/>
      <c r="AU24" s="180"/>
      <c r="AV24" s="221"/>
      <c r="AW24" s="71"/>
    </row>
    <row r="25" spans="1:49" s="215" customFormat="1" ht="12.75" customHeight="1">
      <c r="A25" s="210" t="s">
        <v>191</v>
      </c>
      <c r="B25" s="141"/>
      <c r="C25" s="212">
        <v>92.3</v>
      </c>
      <c r="D25" s="212">
        <v>96.8</v>
      </c>
      <c r="E25" s="212">
        <v>96.5</v>
      </c>
      <c r="F25" s="212">
        <v>0</v>
      </c>
      <c r="G25" s="212">
        <v>100</v>
      </c>
      <c r="H25" s="212">
        <v>100</v>
      </c>
      <c r="I25" s="212">
        <v>100</v>
      </c>
      <c r="J25" s="212">
        <v>100</v>
      </c>
      <c r="K25" s="212">
        <v>100</v>
      </c>
      <c r="L25" s="212">
        <v>100</v>
      </c>
      <c r="M25" s="212">
        <v>100</v>
      </c>
      <c r="N25" s="212">
        <v>100</v>
      </c>
      <c r="O25" s="212">
        <v>100</v>
      </c>
      <c r="P25" s="212">
        <v>100</v>
      </c>
      <c r="Q25" s="211">
        <v>0</v>
      </c>
      <c r="R25" s="211">
        <v>95.70355431585132</v>
      </c>
      <c r="S25" s="211">
        <v>0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f>194783/263039*100</f>
        <v>74.05099624010127</v>
      </c>
      <c r="AA25" s="211">
        <f>67287/77058*100</f>
        <v>87.31994082379506</v>
      </c>
      <c r="AB25" s="211">
        <f>295152/316558*100</f>
        <v>93.23789005490305</v>
      </c>
      <c r="AC25" s="211">
        <v>77.8</v>
      </c>
      <c r="AD25" s="211">
        <v>60.6</v>
      </c>
      <c r="AE25" s="212">
        <v>100</v>
      </c>
      <c r="AF25" s="211">
        <v>94.5</v>
      </c>
      <c r="AG25" s="212">
        <f>243712/246987*100</f>
        <v>98.67401928036699</v>
      </c>
      <c r="AH25" s="212">
        <v>100</v>
      </c>
      <c r="AI25" s="212">
        <v>0</v>
      </c>
      <c r="AJ25" s="212">
        <v>100</v>
      </c>
      <c r="AK25" s="211">
        <v>100</v>
      </c>
      <c r="AL25" s="211">
        <v>100</v>
      </c>
      <c r="AM25" s="211">
        <v>100</v>
      </c>
      <c r="AN25" s="212">
        <v>82.3</v>
      </c>
      <c r="AO25" s="212">
        <v>77.2</v>
      </c>
      <c r="AP25" s="212">
        <v>93.3</v>
      </c>
      <c r="AQ25" s="212">
        <v>95.8</v>
      </c>
      <c r="AR25" s="211">
        <v>0</v>
      </c>
      <c r="AS25" s="211">
        <v>0</v>
      </c>
      <c r="AT25" s="212">
        <v>98.6</v>
      </c>
      <c r="AU25" s="213"/>
      <c r="AV25" s="222">
        <f>+AV77/$AV$82*100</f>
        <v>84.45262538242712</v>
      </c>
      <c r="AW25" s="214"/>
    </row>
    <row r="26" spans="1:49" s="215" customFormat="1" ht="12.75" customHeight="1">
      <c r="A26" s="210" t="s">
        <v>192</v>
      </c>
      <c r="B26" s="141"/>
      <c r="C26" s="212">
        <v>0.8</v>
      </c>
      <c r="D26" s="212">
        <v>0</v>
      </c>
      <c r="E26" s="212">
        <v>0.7</v>
      </c>
      <c r="F26" s="212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1.5486428745017102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f>7314/263039*100</f>
        <v>2.780576264356236</v>
      </c>
      <c r="AA26" s="211">
        <f>1334/77058*100</f>
        <v>1.7311635391523268</v>
      </c>
      <c r="AB26" s="211">
        <f>411/316558*100</f>
        <v>0.1298340272556688</v>
      </c>
      <c r="AC26" s="211">
        <v>19</v>
      </c>
      <c r="AD26" s="211">
        <v>35.6</v>
      </c>
      <c r="AE26" s="211">
        <v>0</v>
      </c>
      <c r="AF26" s="211">
        <v>5.5</v>
      </c>
      <c r="AG26" s="212">
        <f>3275/246987*100</f>
        <v>1.3259807196330171</v>
      </c>
      <c r="AH26" s="211">
        <v>0</v>
      </c>
      <c r="AI26" s="211">
        <v>0</v>
      </c>
      <c r="AJ26" s="211">
        <v>0</v>
      </c>
      <c r="AK26" s="211">
        <v>0</v>
      </c>
      <c r="AL26" s="211">
        <v>0</v>
      </c>
      <c r="AM26" s="211">
        <v>0</v>
      </c>
      <c r="AN26" s="212">
        <v>17.4</v>
      </c>
      <c r="AO26" s="212">
        <v>12.3</v>
      </c>
      <c r="AP26" s="212">
        <v>0.8</v>
      </c>
      <c r="AQ26" s="212">
        <v>0</v>
      </c>
      <c r="AR26" s="211">
        <v>0</v>
      </c>
      <c r="AS26" s="211">
        <v>0</v>
      </c>
      <c r="AT26" s="212">
        <v>0.3</v>
      </c>
      <c r="AU26" s="213"/>
      <c r="AV26" s="222">
        <f>+AV78/$AV$82*100</f>
        <v>1.6807629832920585</v>
      </c>
      <c r="AW26" s="214"/>
    </row>
    <row r="27" spans="1:49" s="215" customFormat="1" ht="12.75" customHeight="1">
      <c r="A27" s="210" t="s">
        <v>193</v>
      </c>
      <c r="B27" s="141"/>
      <c r="C27" s="212">
        <v>1.3</v>
      </c>
      <c r="D27" s="212">
        <v>3.2</v>
      </c>
      <c r="E27" s="212">
        <v>1.9</v>
      </c>
      <c r="F27" s="212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1.5716757407696242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3.2</v>
      </c>
      <c r="AD27" s="211">
        <v>3.8</v>
      </c>
      <c r="AE27" s="211">
        <v>0</v>
      </c>
      <c r="AF27" s="211">
        <v>0</v>
      </c>
      <c r="AG27" s="212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  <c r="AM27" s="211">
        <v>0</v>
      </c>
      <c r="AN27" s="212">
        <v>0</v>
      </c>
      <c r="AO27" s="212">
        <v>7.1</v>
      </c>
      <c r="AP27" s="212">
        <v>4.9</v>
      </c>
      <c r="AQ27" s="212">
        <v>3.4</v>
      </c>
      <c r="AR27" s="211">
        <v>0</v>
      </c>
      <c r="AS27" s="211">
        <v>0</v>
      </c>
      <c r="AT27" s="212">
        <v>0</v>
      </c>
      <c r="AU27" s="213"/>
      <c r="AV27" s="222">
        <f>+AV79/$AV$82*100</f>
        <v>1.2176629649111643</v>
      </c>
      <c r="AW27" s="214"/>
    </row>
    <row r="28" spans="1:49" s="215" customFormat="1" ht="12.75" customHeight="1">
      <c r="A28" s="210" t="s">
        <v>194</v>
      </c>
      <c r="B28" s="141"/>
      <c r="C28" s="212">
        <v>5.6</v>
      </c>
      <c r="D28" s="212">
        <v>0</v>
      </c>
      <c r="E28" s="212">
        <v>0.9</v>
      </c>
      <c r="F28" s="212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1.1761270688773382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2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2">
        <v>0.3</v>
      </c>
      <c r="AO28" s="212">
        <v>2.4</v>
      </c>
      <c r="AP28" s="212">
        <v>1</v>
      </c>
      <c r="AQ28" s="212">
        <v>0.2</v>
      </c>
      <c r="AR28" s="211">
        <v>0</v>
      </c>
      <c r="AS28" s="211">
        <v>0</v>
      </c>
      <c r="AT28" s="212">
        <v>0.6</v>
      </c>
      <c r="AU28" s="213"/>
      <c r="AV28" s="222">
        <f>+AV80/$AV$82*100</f>
        <v>0.5739464582470218</v>
      </c>
      <c r="AW28" s="214"/>
    </row>
    <row r="29" spans="1:49" s="149" customFormat="1" ht="12.75" customHeight="1">
      <c r="A29" s="210" t="s">
        <v>195</v>
      </c>
      <c r="B29" s="141"/>
      <c r="C29" s="211">
        <v>0</v>
      </c>
      <c r="D29" s="211">
        <v>0</v>
      </c>
      <c r="E29" s="211">
        <v>0</v>
      </c>
      <c r="F29" s="212">
        <v>100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2">
        <v>100</v>
      </c>
      <c r="V29" s="212">
        <v>100</v>
      </c>
      <c r="W29" s="212">
        <v>100</v>
      </c>
      <c r="X29" s="212">
        <v>100</v>
      </c>
      <c r="Y29" s="212">
        <v>100</v>
      </c>
      <c r="Z29" s="211">
        <f>60942/263039*100</f>
        <v>23.16842749554249</v>
      </c>
      <c r="AA29" s="211">
        <f>8438/77058*100</f>
        <v>10.950193360845077</v>
      </c>
      <c r="AB29" s="211">
        <f>20995/316558*100</f>
        <v>6.632275917841281</v>
      </c>
      <c r="AC29" s="211">
        <v>0</v>
      </c>
      <c r="AD29" s="211">
        <v>0</v>
      </c>
      <c r="AE29" s="211">
        <v>0</v>
      </c>
      <c r="AF29" s="211">
        <v>0</v>
      </c>
      <c r="AG29" s="212">
        <v>0</v>
      </c>
      <c r="AH29" s="211">
        <v>0</v>
      </c>
      <c r="AI29" s="211">
        <v>0</v>
      </c>
      <c r="AJ29" s="211">
        <v>0</v>
      </c>
      <c r="AK29" s="211">
        <v>0</v>
      </c>
      <c r="AL29" s="211">
        <v>0</v>
      </c>
      <c r="AM29" s="211">
        <v>0</v>
      </c>
      <c r="AN29" s="212">
        <v>0</v>
      </c>
      <c r="AO29" s="212">
        <v>1</v>
      </c>
      <c r="AP29" s="211">
        <v>0</v>
      </c>
      <c r="AQ29" s="212">
        <v>0.6</v>
      </c>
      <c r="AR29" s="212">
        <v>100</v>
      </c>
      <c r="AS29" s="211">
        <v>0</v>
      </c>
      <c r="AT29" s="212">
        <v>0.5</v>
      </c>
      <c r="AU29" s="213"/>
      <c r="AV29" s="222">
        <f>+AV81/$AV$82*100</f>
        <v>12.075002211122642</v>
      </c>
      <c r="AW29" s="148"/>
    </row>
    <row r="30" spans="1:49" s="44" customFormat="1" ht="12.75" customHeight="1">
      <c r="A30" s="147" t="s">
        <v>196</v>
      </c>
      <c r="B30" s="141">
        <v>7</v>
      </c>
      <c r="C30" s="172">
        <f aca="true" t="shared" si="3" ref="C30:AT30">SUM(C25:C29)</f>
        <v>99.99999999999999</v>
      </c>
      <c r="D30" s="172">
        <f t="shared" si="3"/>
        <v>100</v>
      </c>
      <c r="E30" s="172">
        <f t="shared" si="3"/>
        <v>100.00000000000001</v>
      </c>
      <c r="F30" s="172">
        <f t="shared" si="3"/>
        <v>100</v>
      </c>
      <c r="G30" s="172">
        <f t="shared" si="3"/>
        <v>100</v>
      </c>
      <c r="H30" s="172">
        <f t="shared" si="3"/>
        <v>100</v>
      </c>
      <c r="I30" s="172">
        <f t="shared" si="3"/>
        <v>100</v>
      </c>
      <c r="J30" s="172">
        <f t="shared" si="3"/>
        <v>100</v>
      </c>
      <c r="K30" s="172">
        <f t="shared" si="3"/>
        <v>100</v>
      </c>
      <c r="L30" s="172">
        <f t="shared" si="3"/>
        <v>100</v>
      </c>
      <c r="M30" s="172">
        <f t="shared" si="3"/>
        <v>100</v>
      </c>
      <c r="N30" s="172">
        <f t="shared" si="3"/>
        <v>100</v>
      </c>
      <c r="O30" s="172">
        <f t="shared" si="3"/>
        <v>100</v>
      </c>
      <c r="P30" s="172">
        <f t="shared" si="3"/>
        <v>100</v>
      </c>
      <c r="Q30" s="172">
        <f t="shared" si="3"/>
        <v>0</v>
      </c>
      <c r="R30" s="172">
        <f t="shared" si="3"/>
        <v>99.99999999999999</v>
      </c>
      <c r="S30" s="172">
        <f t="shared" si="3"/>
        <v>0</v>
      </c>
      <c r="T30" s="172">
        <f t="shared" si="3"/>
        <v>0</v>
      </c>
      <c r="U30" s="172">
        <f t="shared" si="3"/>
        <v>100</v>
      </c>
      <c r="V30" s="172">
        <f t="shared" si="3"/>
        <v>100</v>
      </c>
      <c r="W30" s="172">
        <f t="shared" si="3"/>
        <v>100</v>
      </c>
      <c r="X30" s="172">
        <f t="shared" si="3"/>
        <v>100</v>
      </c>
      <c r="Y30" s="172">
        <f t="shared" si="3"/>
        <v>100</v>
      </c>
      <c r="Z30" s="172">
        <f t="shared" si="3"/>
        <v>100</v>
      </c>
      <c r="AA30" s="207">
        <f t="shared" si="3"/>
        <v>100.00129772379248</v>
      </c>
      <c r="AB30" s="172">
        <f t="shared" si="3"/>
        <v>100</v>
      </c>
      <c r="AC30" s="172">
        <f t="shared" si="3"/>
        <v>100</v>
      </c>
      <c r="AD30" s="172">
        <f t="shared" si="3"/>
        <v>100</v>
      </c>
      <c r="AE30" s="172">
        <f t="shared" si="3"/>
        <v>100</v>
      </c>
      <c r="AF30" s="172">
        <f t="shared" si="3"/>
        <v>100</v>
      </c>
      <c r="AG30" s="172">
        <f t="shared" si="3"/>
        <v>100.00000000000001</v>
      </c>
      <c r="AH30" s="172">
        <f t="shared" si="3"/>
        <v>100</v>
      </c>
      <c r="AI30" s="172">
        <f t="shared" si="3"/>
        <v>0</v>
      </c>
      <c r="AJ30" s="172">
        <f t="shared" si="3"/>
        <v>100</v>
      </c>
      <c r="AK30" s="172">
        <f t="shared" si="3"/>
        <v>100</v>
      </c>
      <c r="AL30" s="172">
        <f t="shared" si="3"/>
        <v>100</v>
      </c>
      <c r="AM30" s="172">
        <f t="shared" si="3"/>
        <v>100</v>
      </c>
      <c r="AN30" s="172">
        <f t="shared" si="3"/>
        <v>99.99999999999999</v>
      </c>
      <c r="AO30" s="172">
        <f t="shared" si="3"/>
        <v>100</v>
      </c>
      <c r="AP30" s="172">
        <f t="shared" si="3"/>
        <v>100</v>
      </c>
      <c r="AQ30" s="172">
        <f t="shared" si="3"/>
        <v>100</v>
      </c>
      <c r="AR30" s="172">
        <f t="shared" si="3"/>
        <v>100</v>
      </c>
      <c r="AS30" s="172">
        <f t="shared" si="3"/>
        <v>0</v>
      </c>
      <c r="AT30" s="172">
        <f t="shared" si="3"/>
        <v>99.99999999999999</v>
      </c>
      <c r="AU30" s="182"/>
      <c r="AV30" s="222">
        <f>SUM(AV25:AV29)</f>
        <v>100</v>
      </c>
      <c r="AW30" s="150"/>
    </row>
    <row r="31" spans="1:49" s="44" customFormat="1" ht="12.75" customHeight="1">
      <c r="A31" s="147"/>
      <c r="B31" s="14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83"/>
      <c r="AV31" s="223"/>
      <c r="AW31" s="150"/>
    </row>
    <row r="32" spans="1:49" ht="12.75" customHeight="1">
      <c r="A32" s="54" t="s">
        <v>197</v>
      </c>
      <c r="B32" s="141">
        <v>8</v>
      </c>
      <c r="C32" s="171">
        <v>0</v>
      </c>
      <c r="D32" s="171">
        <v>0</v>
      </c>
      <c r="E32" s="171">
        <v>0</v>
      </c>
      <c r="F32" s="170">
        <v>0.5</v>
      </c>
      <c r="G32" s="171">
        <v>0</v>
      </c>
      <c r="H32" s="171">
        <v>0</v>
      </c>
      <c r="I32" s="171">
        <v>0</v>
      </c>
      <c r="J32" s="170">
        <v>15</v>
      </c>
      <c r="K32" s="170">
        <v>15</v>
      </c>
      <c r="L32" s="170">
        <v>15</v>
      </c>
      <c r="M32" s="170">
        <v>15</v>
      </c>
      <c r="N32" s="170">
        <v>15</v>
      </c>
      <c r="O32" s="170">
        <v>15</v>
      </c>
      <c r="P32" s="170">
        <v>15</v>
      </c>
      <c r="Q32" s="171">
        <v>0</v>
      </c>
      <c r="R32" s="171">
        <v>0</v>
      </c>
      <c r="S32" s="171">
        <v>0</v>
      </c>
      <c r="T32" s="171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0</v>
      </c>
      <c r="AH32" s="171">
        <v>0</v>
      </c>
      <c r="AI32" s="171">
        <v>0</v>
      </c>
      <c r="AJ32" s="170">
        <v>5</v>
      </c>
      <c r="AK32" s="171">
        <v>0</v>
      </c>
      <c r="AL32" s="171">
        <v>0</v>
      </c>
      <c r="AM32" s="171">
        <v>0</v>
      </c>
      <c r="AN32" s="171">
        <v>0</v>
      </c>
      <c r="AO32" s="171">
        <v>0</v>
      </c>
      <c r="AP32" s="171">
        <v>0</v>
      </c>
      <c r="AQ32" s="171">
        <v>0</v>
      </c>
      <c r="AR32" s="171">
        <v>0</v>
      </c>
      <c r="AS32" s="171">
        <v>0</v>
      </c>
      <c r="AT32" s="171">
        <v>0</v>
      </c>
      <c r="AU32" s="182"/>
      <c r="AV32" s="220">
        <f>SUM(C32:AT32)</f>
        <v>110.5</v>
      </c>
      <c r="AW32" s="71"/>
    </row>
    <row r="33" spans="1:49" s="99" customFormat="1" ht="12.75" customHeight="1">
      <c r="A33" s="151" t="s">
        <v>316</v>
      </c>
      <c r="B33" s="141">
        <v>9</v>
      </c>
      <c r="C33" s="211">
        <f>+'5.1. Séreignard.'!C20/'5.1. Séreignard.'!C13*100</f>
        <v>7.8414107690990695</v>
      </c>
      <c r="D33" s="211">
        <f>+'5.1. Séreignard.'!D20/'5.1. Séreignard.'!D13*100</f>
        <v>13.77789510020915</v>
      </c>
      <c r="E33" s="211">
        <f>+'5.1. Séreignard.'!E20/'5.1. Séreignard.'!E13*100</f>
        <v>47.32235294117647</v>
      </c>
      <c r="F33" s="211">
        <f>+'5.1. Séreignard.'!F20/'5.1. Séreignard.'!F13*100</f>
        <v>12.861919882716414</v>
      </c>
      <c r="G33" s="211">
        <f>+'5.1. Séreignard.'!G20/'5.1. Séreignard.'!G13*100</f>
        <v>6.025597342305891</v>
      </c>
      <c r="H33" s="211">
        <f>+'5.1. Séreignard.'!H20/'5.1. Séreignard.'!H13*100</f>
        <v>34.050817803887576</v>
      </c>
      <c r="I33" s="211">
        <f>+'5.1. Séreignard.'!I20/'5.1. Séreignard.'!I13*100</f>
        <v>-39.87240829346093</v>
      </c>
      <c r="J33" s="211">
        <f>+'5.1. Séreignard.'!J20/'5.1. Séreignard.'!J13*100</f>
        <v>0</v>
      </c>
      <c r="K33" s="211">
        <f>+'5.1. Séreignard.'!K20/'5.1. Séreignard.'!K13*100</f>
        <v>0</v>
      </c>
      <c r="L33" s="211">
        <f>+'5.1. Séreignard.'!L20/'5.1. Séreignard.'!L13*100</f>
        <v>0</v>
      </c>
      <c r="M33" s="211">
        <f>+'5.1. Séreignard.'!M20/'5.1. Séreignard.'!M13*100</f>
        <v>3.0024284347634116</v>
      </c>
      <c r="N33" s="211">
        <f>+'5.1. Séreignard.'!N20/'5.1. Séreignard.'!N13*100</f>
        <v>96.2135922330097</v>
      </c>
      <c r="O33" s="211">
        <f>+'5.1. Séreignard.'!O20/'5.1. Séreignard.'!O13*100</f>
        <v>21.526369168357</v>
      </c>
      <c r="P33" s="211">
        <f>+'5.1. Séreignard.'!P20/'5.1. Séreignard.'!P13*100</f>
        <v>19.525574740675705</v>
      </c>
      <c r="Q33" s="211">
        <f>+'5.1. Séreignard.'!Q20/'5.1. Séreignard.'!Q13*100</f>
        <v>1.3319761428273085</v>
      </c>
      <c r="R33" s="211">
        <f>+'5.1. Séreignard.'!R20/'5.1. Séreignard.'!R13*100</f>
        <v>9.503892299135565</v>
      </c>
      <c r="S33" s="211">
        <f>+'5.1. Séreignard.'!S20/'5.1. Séreignard.'!S13*100</f>
        <v>28.014300708475464</v>
      </c>
      <c r="T33" s="211">
        <f>+'5.1. Séreignard.'!T20/'5.1. Séreignard.'!T13*100</f>
        <v>93.94214762435664</v>
      </c>
      <c r="U33" s="211">
        <f>+'5.1. Séreignard.'!U20/'5.1. Séreignard.'!U13*100</f>
        <v>10.98322920092075</v>
      </c>
      <c r="V33" s="211">
        <f>+'5.1. Séreignard.'!V20/'5.1. Séreignard.'!V13*100</f>
        <v>6.538027982229296</v>
      </c>
      <c r="W33" s="211">
        <f>+'5.1. Séreignard.'!W20/'5.1. Séreignard.'!W13*100</f>
        <v>31.447408770315853</v>
      </c>
      <c r="X33" s="211">
        <f>+'5.1. Séreignard.'!X20/'5.1. Séreignard.'!X13*100</f>
        <v>2.8001349462624705</v>
      </c>
      <c r="Y33" s="211">
        <f>+'5.1. Séreignard.'!Y20/'5.1. Séreignard.'!Y13*100</f>
        <v>28.400781872149423</v>
      </c>
      <c r="Z33" s="211">
        <f>+'5.1. Séreignard.'!Z20/'5.1. Séreignard.'!Z13*100</f>
        <v>6.288957964190771</v>
      </c>
      <c r="AA33" s="211">
        <f>+'5.1. Séreignard.'!AA20/'5.1. Séreignard.'!AA13*100</f>
        <v>42.571363854835944</v>
      </c>
      <c r="AB33" s="211">
        <f>+'5.1. Séreignard.'!AB20/'5.1. Séreignard.'!AB13*100</f>
        <v>149.85419704228286</v>
      </c>
      <c r="AC33" s="211">
        <f>+'5.1. Séreignard.'!AC20/'5.1. Séreignard.'!AC13*100</f>
        <v>61.51931670343346</v>
      </c>
      <c r="AD33" s="211">
        <f>+'5.1. Séreignard.'!AD20/'5.1. Séreignard.'!AD13*100</f>
        <v>8.742000348908743</v>
      </c>
      <c r="AE33" s="211">
        <f>+'5.1. Séreignard.'!AE20/'5.1. Séreignard.'!AE13*100</f>
        <v>18.233492524916944</v>
      </c>
      <c r="AF33" s="211">
        <f>+'5.1. Séreignard.'!AF20/'5.1. Séreignard.'!AF13*100</f>
        <v>5.893507281553398</v>
      </c>
      <c r="AG33" s="241" t="s">
        <v>246</v>
      </c>
      <c r="AH33" s="211">
        <f>+'5.1. Séreignard.'!AH20/'5.1. Séreignard.'!AH13*100</f>
        <v>1.9211192331075828</v>
      </c>
      <c r="AI33" s="211">
        <f>+'5.1. Séreignard.'!AI20/'5.1. Séreignard.'!AI13*100</f>
        <v>0</v>
      </c>
      <c r="AJ33" s="211">
        <f>+'5.1. Séreignard.'!AJ20/'5.1. Séreignard.'!AJ13*100</f>
        <v>24.422698984605308</v>
      </c>
      <c r="AK33" s="211">
        <f>+'5.1. Séreignard.'!AK20/'5.1. Séreignard.'!AK13*100</f>
        <v>11.772364652131714</v>
      </c>
      <c r="AL33" s="211">
        <f>+'5.1. Séreignard.'!AL20/'5.1. Séreignard.'!AL13*100</f>
        <v>3.378853298523948</v>
      </c>
      <c r="AM33" s="211">
        <f>+'5.1. Séreignard.'!AM20/'5.1. Séreignard.'!AM13*100</f>
        <v>40.60434372049103</v>
      </c>
      <c r="AN33" s="211">
        <f>+'5.1. Séreignard.'!AN20/'5.1. Séreignard.'!AN13*100</f>
        <v>0.3787229120381635</v>
      </c>
      <c r="AO33" s="211">
        <f>+'5.1. Séreignard.'!AO20/'5.1. Séreignard.'!AO13*100</f>
        <v>-2.9066239409193164</v>
      </c>
      <c r="AP33" s="211">
        <f>+'5.1. Séreignard.'!AP20/'5.1. Séreignard.'!AP13*100</f>
        <v>4.167105585484656</v>
      </c>
      <c r="AQ33" s="211">
        <f>+'5.1. Séreignard.'!AQ20/'5.1. Séreignard.'!AQ13*100</f>
        <v>6.434432722417655</v>
      </c>
      <c r="AR33" s="211">
        <f>+'5.1. Séreignard.'!AR20/'5.1. Séreignard.'!AR13*100</f>
        <v>58.755525331519884</v>
      </c>
      <c r="AS33" s="211">
        <f>+'5.1. Séreignard.'!AS20/'5.1. Séreignard.'!AS13*100</f>
        <v>1.5991620111731844</v>
      </c>
      <c r="AT33" s="211">
        <f>+'5.1. Séreignard.'!AT20/'5.1. Séreignard.'!AT13*100</f>
        <v>54.875918564028424</v>
      </c>
      <c r="AU33" s="211"/>
      <c r="AV33" s="211">
        <f>+'5.1. Séreignard.'!AV20/'5.1. Séreignard.'!AV13*100</f>
        <v>11.444169978840131</v>
      </c>
      <c r="AW33" s="152"/>
    </row>
    <row r="34" spans="1:49" ht="12" customHeight="1">
      <c r="A34" s="6"/>
      <c r="B34" s="141"/>
      <c r="C34" s="171"/>
      <c r="D34" s="171"/>
      <c r="E34" s="171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71"/>
      <c r="S34" s="171"/>
      <c r="T34" s="171"/>
      <c r="U34" s="170"/>
      <c r="V34" s="170"/>
      <c r="W34" s="170"/>
      <c r="X34" s="170"/>
      <c r="Y34" s="170"/>
      <c r="Z34" s="171"/>
      <c r="AA34" s="171"/>
      <c r="AB34" s="171"/>
      <c r="AC34" s="171"/>
      <c r="AD34" s="171"/>
      <c r="AE34" s="170"/>
      <c r="AF34" s="171"/>
      <c r="AG34" s="171"/>
      <c r="AH34" s="170"/>
      <c r="AI34" s="170"/>
      <c r="AJ34" s="171"/>
      <c r="AK34" s="171"/>
      <c r="AL34" s="171"/>
      <c r="AM34" s="171"/>
      <c r="AN34" s="170"/>
      <c r="AO34" s="170"/>
      <c r="AP34" s="170"/>
      <c r="AQ34" s="170"/>
      <c r="AR34" s="171"/>
      <c r="AS34" s="171"/>
      <c r="AT34" s="170"/>
      <c r="AU34" s="184"/>
      <c r="AV34" s="185"/>
      <c r="AW34" s="59"/>
    </row>
    <row r="35" spans="1:49" ht="12" customHeight="1">
      <c r="A35" s="6"/>
      <c r="B35" s="141"/>
      <c r="C35" s="45"/>
      <c r="D35" s="45"/>
      <c r="E35" s="45"/>
      <c r="F35" s="45"/>
      <c r="G35" s="45"/>
      <c r="H35" s="45"/>
      <c r="I35" s="45"/>
      <c r="J35" s="154"/>
      <c r="K35" s="45"/>
      <c r="L35" s="45"/>
      <c r="M35" s="45"/>
      <c r="N35" s="45"/>
      <c r="O35" s="45"/>
      <c r="P35" s="59"/>
      <c r="Q35" s="153"/>
      <c r="R35" s="153"/>
      <c r="S35" s="45"/>
      <c r="T35" s="45"/>
      <c r="U35" s="59"/>
      <c r="V35" s="59"/>
      <c r="W35" s="59"/>
      <c r="X35" s="59"/>
      <c r="Y35" s="12"/>
      <c r="Z35" s="45"/>
      <c r="AA35" s="45"/>
      <c r="AB35" s="45"/>
      <c r="AC35" s="45"/>
      <c r="AD35" s="45"/>
      <c r="AF35" s="154"/>
      <c r="AI35" s="45"/>
      <c r="AJ35" s="15"/>
      <c r="AK35" s="45"/>
      <c r="AL35" s="45"/>
      <c r="AN35" s="45"/>
      <c r="AO35" s="45"/>
      <c r="AP35" s="45"/>
      <c r="AQ35" s="45"/>
      <c r="AR35" s="15"/>
      <c r="AS35" s="15"/>
      <c r="AT35" s="45"/>
      <c r="AU35" s="184"/>
      <c r="AV35" s="185"/>
      <c r="AW35" s="59"/>
    </row>
    <row r="36" spans="1:167" s="60" customFormat="1" ht="12.75" customHeight="1">
      <c r="A36" s="4" t="s">
        <v>200</v>
      </c>
      <c r="B36" s="138"/>
      <c r="C36" s="366" t="s">
        <v>247</v>
      </c>
      <c r="D36" s="366"/>
      <c r="E36" s="366"/>
      <c r="F36" s="65"/>
      <c r="G36" s="366" t="s">
        <v>303</v>
      </c>
      <c r="H36" s="366"/>
      <c r="I36" s="366"/>
      <c r="J36" s="365" t="s">
        <v>247</v>
      </c>
      <c r="K36" s="365"/>
      <c r="L36" s="365"/>
      <c r="M36" s="365"/>
      <c r="N36" s="365"/>
      <c r="O36" s="365"/>
      <c r="P36" s="365"/>
      <c r="Q36" s="365" t="s">
        <v>247</v>
      </c>
      <c r="R36" s="365"/>
      <c r="S36" s="365"/>
      <c r="T36" s="365"/>
      <c r="U36" s="365" t="s">
        <v>247</v>
      </c>
      <c r="V36" s="365"/>
      <c r="W36" s="365"/>
      <c r="X36" s="365"/>
      <c r="Y36" s="365"/>
      <c r="Z36" s="366" t="s">
        <v>247</v>
      </c>
      <c r="AA36" s="366"/>
      <c r="AB36" s="366"/>
      <c r="AC36" s="366" t="s">
        <v>247</v>
      </c>
      <c r="AD36" s="366"/>
      <c r="AE36" s="86"/>
      <c r="AF36" s="87" t="s">
        <v>309</v>
      </c>
      <c r="AG36" s="356" t="s">
        <v>315</v>
      </c>
      <c r="AH36" s="86"/>
      <c r="AI36" s="86"/>
      <c r="AJ36" s="86"/>
      <c r="AL36" s="366" t="s">
        <v>304</v>
      </c>
      <c r="AM36" s="366"/>
      <c r="AN36" s="366" t="s">
        <v>247</v>
      </c>
      <c r="AO36" s="366"/>
      <c r="AP36" s="366"/>
      <c r="AQ36" s="366"/>
      <c r="AT36" s="86"/>
      <c r="AU36" s="184"/>
      <c r="AV36" s="185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</row>
    <row r="37" spans="2:167" s="60" customFormat="1" ht="12.75" customHeight="1">
      <c r="B37" s="138"/>
      <c r="C37" s="155"/>
      <c r="D37" s="366" t="s">
        <v>304</v>
      </c>
      <c r="E37" s="366"/>
      <c r="F37" s="65"/>
      <c r="G37" s="366" t="s">
        <v>310</v>
      </c>
      <c r="H37" s="366"/>
      <c r="I37" s="366"/>
      <c r="J37" s="366" t="s">
        <v>588</v>
      </c>
      <c r="K37" s="366"/>
      <c r="L37" s="366" t="s">
        <v>593</v>
      </c>
      <c r="M37" s="366"/>
      <c r="N37" s="366"/>
      <c r="O37" s="157"/>
      <c r="P37" s="65"/>
      <c r="Q37" s="86"/>
      <c r="R37" s="86"/>
      <c r="S37" s="65"/>
      <c r="U37" s="366" t="s">
        <v>595</v>
      </c>
      <c r="V37" s="366"/>
      <c r="W37" s="366"/>
      <c r="X37" s="366"/>
      <c r="Y37" s="366"/>
      <c r="AA37" s="86"/>
      <c r="AB37" s="86"/>
      <c r="AE37" s="62"/>
      <c r="AF37" s="87" t="s">
        <v>308</v>
      </c>
      <c r="AG37" s="356" t="s">
        <v>305</v>
      </c>
      <c r="AH37" s="86"/>
      <c r="AI37" s="86"/>
      <c r="AJ37" s="65"/>
      <c r="AK37" s="156"/>
      <c r="AL37" s="65"/>
      <c r="AM37" s="86"/>
      <c r="AP37" s="155"/>
      <c r="AQ37" s="89" t="s">
        <v>306</v>
      </c>
      <c r="AS37" s="65"/>
      <c r="AT37" s="86"/>
      <c r="AU37" s="186"/>
      <c r="AV37" s="185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</row>
    <row r="38" spans="1:167" s="60" customFormat="1" ht="12.75" customHeight="1">
      <c r="A38" s="4"/>
      <c r="B38" s="138"/>
      <c r="C38" s="62"/>
      <c r="D38" s="62"/>
      <c r="E38" s="65"/>
      <c r="F38" s="65"/>
      <c r="J38" s="366" t="s">
        <v>589</v>
      </c>
      <c r="K38" s="366"/>
      <c r="L38" s="65"/>
      <c r="M38" s="65"/>
      <c r="N38" s="65"/>
      <c r="O38" s="65"/>
      <c r="P38" s="65"/>
      <c r="Q38" s="86"/>
      <c r="T38" s="86"/>
      <c r="U38" s="366" t="s">
        <v>597</v>
      </c>
      <c r="V38" s="366"/>
      <c r="W38" s="366"/>
      <c r="X38" s="366"/>
      <c r="Y38" s="366"/>
      <c r="Z38" s="86"/>
      <c r="AA38" s="65"/>
      <c r="AB38" s="65"/>
      <c r="AC38" s="62"/>
      <c r="AD38" s="62"/>
      <c r="AE38" s="62"/>
      <c r="AF38" s="86"/>
      <c r="AG38" s="346">
        <v>2002</v>
      </c>
      <c r="AH38" s="65"/>
      <c r="AI38" s="65"/>
      <c r="AJ38" s="65"/>
      <c r="AK38" s="65"/>
      <c r="AL38" s="65"/>
      <c r="AM38" s="65"/>
      <c r="AP38" s="65"/>
      <c r="AQ38" s="89" t="s">
        <v>307</v>
      </c>
      <c r="AS38" s="65"/>
      <c r="AT38" s="65"/>
      <c r="AU38" s="186"/>
      <c r="AV38" s="185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</row>
    <row r="39" spans="1:167" s="60" customFormat="1" ht="12.75" customHeight="1">
      <c r="A39" s="4"/>
      <c r="B39" s="138"/>
      <c r="C39" s="62"/>
      <c r="D39" s="62"/>
      <c r="E39" s="65"/>
      <c r="F39" s="65"/>
      <c r="J39" s="65"/>
      <c r="K39" s="65"/>
      <c r="L39" s="65"/>
      <c r="M39" s="65"/>
      <c r="N39" s="65"/>
      <c r="O39" s="65"/>
      <c r="P39" s="65"/>
      <c r="Q39" s="86"/>
      <c r="R39" s="86"/>
      <c r="S39" s="65"/>
      <c r="T39" s="86"/>
      <c r="U39" s="89"/>
      <c r="V39" s="65"/>
      <c r="W39" s="65"/>
      <c r="X39" s="65"/>
      <c r="Y39" s="6"/>
      <c r="Z39" s="86"/>
      <c r="AA39" s="65"/>
      <c r="AB39" s="65"/>
      <c r="AC39" s="62"/>
      <c r="AD39" s="62"/>
      <c r="AE39" s="62"/>
      <c r="AF39" s="86"/>
      <c r="AG39" s="209"/>
      <c r="AH39" s="65"/>
      <c r="AI39" s="65"/>
      <c r="AJ39" s="65"/>
      <c r="AK39" s="65"/>
      <c r="AL39" s="65"/>
      <c r="AM39" s="65"/>
      <c r="AP39" s="65"/>
      <c r="AQ39" s="89"/>
      <c r="AS39" s="65"/>
      <c r="AT39" s="65"/>
      <c r="AU39" s="186"/>
      <c r="AV39" s="185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</row>
    <row r="40" spans="1:167" s="60" customFormat="1" ht="12.75" customHeight="1">
      <c r="A40" s="4"/>
      <c r="B40" s="158"/>
      <c r="C40" s="159"/>
      <c r="D40" s="159"/>
      <c r="E40" s="159"/>
      <c r="F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61"/>
      <c r="V40" s="161"/>
      <c r="W40" s="65"/>
      <c r="X40" s="65"/>
      <c r="Y40" s="6"/>
      <c r="Z40" s="159"/>
      <c r="AA40" s="159"/>
      <c r="AB40" s="159"/>
      <c r="AC40" s="159"/>
      <c r="AD40" s="159"/>
      <c r="AE40" s="160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87"/>
      <c r="AV40" s="22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</row>
    <row r="41" spans="2:167" s="167" customFormat="1" ht="12.75" customHeight="1">
      <c r="B41" s="162"/>
      <c r="C41" s="4" t="s">
        <v>201</v>
      </c>
      <c r="D41" s="159"/>
      <c r="E41" s="159"/>
      <c r="F41" s="159"/>
      <c r="G41" s="159"/>
      <c r="H41" s="159"/>
      <c r="I41" s="159"/>
      <c r="J41" s="4" t="s">
        <v>201</v>
      </c>
      <c r="K41" s="159"/>
      <c r="L41" s="159"/>
      <c r="M41" s="159"/>
      <c r="O41" s="159"/>
      <c r="P41" s="159"/>
      <c r="Q41" s="4" t="s">
        <v>201</v>
      </c>
      <c r="R41" s="159"/>
      <c r="S41" s="159"/>
      <c r="T41" s="159"/>
      <c r="U41" s="163"/>
      <c r="V41" s="163"/>
      <c r="W41" s="164"/>
      <c r="Y41" s="165"/>
      <c r="Z41" s="4" t="s">
        <v>201</v>
      </c>
      <c r="AA41" s="159"/>
      <c r="AC41" s="159"/>
      <c r="AD41" s="159"/>
      <c r="AE41" s="159"/>
      <c r="AF41" s="159"/>
      <c r="AG41" s="4" t="s">
        <v>201</v>
      </c>
      <c r="AH41" s="159"/>
      <c r="AI41" s="159"/>
      <c r="AJ41" s="4"/>
      <c r="AK41" s="4"/>
      <c r="AL41" s="242"/>
      <c r="AM41" s="242"/>
      <c r="AN41" s="4" t="s">
        <v>201</v>
      </c>
      <c r="AO41" s="159"/>
      <c r="AP41" s="159"/>
      <c r="AR41" s="159"/>
      <c r="AS41" s="159"/>
      <c r="AT41" s="159"/>
      <c r="AU41" s="188"/>
      <c r="AV41" s="185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</row>
    <row r="42" spans="2:167" s="60" customFormat="1" ht="12.75" customHeight="1">
      <c r="B42" s="158"/>
      <c r="C42" s="6" t="s">
        <v>203</v>
      </c>
      <c r="D42" s="65"/>
      <c r="E42" s="4"/>
      <c r="F42" s="65"/>
      <c r="G42" s="65"/>
      <c r="H42" s="65"/>
      <c r="I42" s="4"/>
      <c r="J42" s="6" t="s">
        <v>203</v>
      </c>
      <c r="L42" s="4"/>
      <c r="M42" s="4"/>
      <c r="P42" s="4"/>
      <c r="Q42" s="6" t="s">
        <v>203</v>
      </c>
      <c r="R42" s="65"/>
      <c r="S42" s="65"/>
      <c r="T42" s="65"/>
      <c r="U42" s="4"/>
      <c r="V42" s="4"/>
      <c r="W42" s="65"/>
      <c r="Y42" s="6"/>
      <c r="Z42" s="6" t="s">
        <v>203</v>
      </c>
      <c r="AA42" s="4"/>
      <c r="AD42" s="65"/>
      <c r="AF42" s="65"/>
      <c r="AG42" s="6" t="s">
        <v>203</v>
      </c>
      <c r="AI42" s="4"/>
      <c r="AJ42" s="6"/>
      <c r="AK42" s="6"/>
      <c r="AL42" s="242"/>
      <c r="AM42" s="242"/>
      <c r="AN42" s="6" t="s">
        <v>203</v>
      </c>
      <c r="AR42" s="65"/>
      <c r="AS42" s="65"/>
      <c r="AT42" s="65"/>
      <c r="AU42" s="188"/>
      <c r="AV42" s="185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2:167" s="60" customFormat="1" ht="12.75" customHeight="1">
      <c r="B43" s="158"/>
      <c r="C43" s="6" t="s">
        <v>205</v>
      </c>
      <c r="D43" s="65"/>
      <c r="E43" s="6"/>
      <c r="F43" s="65"/>
      <c r="J43" s="6" t="s">
        <v>205</v>
      </c>
      <c r="L43" s="6"/>
      <c r="M43" s="6"/>
      <c r="P43" s="6"/>
      <c r="Q43" s="6" t="s">
        <v>205</v>
      </c>
      <c r="R43" s="65"/>
      <c r="S43" s="65"/>
      <c r="T43" s="65"/>
      <c r="U43" s="6"/>
      <c r="V43" s="6"/>
      <c r="W43" s="65"/>
      <c r="Y43" s="6"/>
      <c r="Z43" s="6" t="s">
        <v>205</v>
      </c>
      <c r="AA43" s="6"/>
      <c r="AD43" s="65"/>
      <c r="AF43" s="65"/>
      <c r="AG43" s="6" t="s">
        <v>205</v>
      </c>
      <c r="AI43" s="6"/>
      <c r="AJ43" s="6"/>
      <c r="AK43" s="6"/>
      <c r="AL43" s="242"/>
      <c r="AM43" s="242"/>
      <c r="AN43" s="6" t="s">
        <v>205</v>
      </c>
      <c r="AR43" s="65"/>
      <c r="AS43" s="65"/>
      <c r="AT43" s="65"/>
      <c r="AU43" s="188"/>
      <c r="AV43" s="185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2:167" s="60" customFormat="1" ht="12.75" customHeight="1">
      <c r="B44" s="158"/>
      <c r="C44" s="6" t="s">
        <v>206</v>
      </c>
      <c r="D44" s="65"/>
      <c r="E44" s="6"/>
      <c r="F44" s="65"/>
      <c r="J44" s="6" t="s">
        <v>206</v>
      </c>
      <c r="L44" s="6"/>
      <c r="M44" s="6"/>
      <c r="P44" s="6"/>
      <c r="Q44" s="6" t="s">
        <v>206</v>
      </c>
      <c r="R44" s="65"/>
      <c r="S44" s="65"/>
      <c r="T44" s="65"/>
      <c r="U44" s="6"/>
      <c r="V44" s="6"/>
      <c r="W44" s="65"/>
      <c r="Y44" s="6"/>
      <c r="Z44" s="6" t="s">
        <v>206</v>
      </c>
      <c r="AA44" s="6"/>
      <c r="AD44" s="65"/>
      <c r="AF44" s="65"/>
      <c r="AG44" s="6" t="s">
        <v>206</v>
      </c>
      <c r="AI44" s="6"/>
      <c r="AJ44" s="6"/>
      <c r="AK44" s="6"/>
      <c r="AL44" s="242"/>
      <c r="AM44" s="242"/>
      <c r="AN44" s="6" t="s">
        <v>206</v>
      </c>
      <c r="AR44" s="65"/>
      <c r="AS44" s="65"/>
      <c r="AT44" s="65"/>
      <c r="AU44" s="188"/>
      <c r="AV44" s="185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</row>
    <row r="45" spans="2:167" s="60" customFormat="1" ht="12.75" customHeight="1">
      <c r="B45" s="158"/>
      <c r="C45" s="6" t="s">
        <v>207</v>
      </c>
      <c r="D45" s="65"/>
      <c r="E45" s="6"/>
      <c r="F45" s="65"/>
      <c r="G45" s="65"/>
      <c r="H45" s="65"/>
      <c r="I45" s="6"/>
      <c r="J45" s="6" t="s">
        <v>207</v>
      </c>
      <c r="L45" s="6"/>
      <c r="M45" s="6"/>
      <c r="P45" s="6"/>
      <c r="Q45" s="6" t="s">
        <v>207</v>
      </c>
      <c r="R45" s="65"/>
      <c r="S45" s="65"/>
      <c r="T45" s="65"/>
      <c r="U45" s="6"/>
      <c r="V45" s="6"/>
      <c r="W45" s="65"/>
      <c r="Y45" s="6"/>
      <c r="Z45" s="6" t="s">
        <v>207</v>
      </c>
      <c r="AA45" s="6"/>
      <c r="AD45" s="65"/>
      <c r="AF45" s="65"/>
      <c r="AG45" s="6" t="s">
        <v>207</v>
      </c>
      <c r="AI45" s="6"/>
      <c r="AJ45" s="6"/>
      <c r="AK45" s="6"/>
      <c r="AL45" s="242"/>
      <c r="AM45" s="242"/>
      <c r="AN45" s="6" t="s">
        <v>207</v>
      </c>
      <c r="AR45" s="65"/>
      <c r="AS45" s="65"/>
      <c r="AT45" s="65"/>
      <c r="AU45" s="188"/>
      <c r="AV45" s="185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</row>
    <row r="46" spans="2:167" s="60" customFormat="1" ht="12.75" customHeight="1">
      <c r="B46" s="158"/>
      <c r="C46" s="6" t="s">
        <v>208</v>
      </c>
      <c r="D46" s="65"/>
      <c r="E46" s="6"/>
      <c r="F46" s="65"/>
      <c r="G46" s="65"/>
      <c r="H46" s="65"/>
      <c r="I46" s="6"/>
      <c r="J46" s="6" t="s">
        <v>208</v>
      </c>
      <c r="L46" s="6"/>
      <c r="M46" s="6"/>
      <c r="P46" s="6"/>
      <c r="Q46" s="6" t="s">
        <v>208</v>
      </c>
      <c r="R46" s="65"/>
      <c r="S46" s="65"/>
      <c r="T46" s="65"/>
      <c r="U46" s="6"/>
      <c r="V46" s="6"/>
      <c r="W46" s="65"/>
      <c r="Y46" s="6"/>
      <c r="Z46" s="6" t="s">
        <v>208</v>
      </c>
      <c r="AA46" s="6"/>
      <c r="AD46" s="65"/>
      <c r="AF46" s="65"/>
      <c r="AG46" s="6" t="s">
        <v>208</v>
      </c>
      <c r="AI46" s="6"/>
      <c r="AJ46" s="6"/>
      <c r="AK46" s="6"/>
      <c r="AL46" s="242"/>
      <c r="AM46" s="242"/>
      <c r="AN46" s="6" t="s">
        <v>208</v>
      </c>
      <c r="AO46" s="6"/>
      <c r="AP46" s="6"/>
      <c r="AR46" s="65"/>
      <c r="AS46" s="65"/>
      <c r="AT46" s="65"/>
      <c r="AU46" s="188"/>
      <c r="AV46" s="185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</row>
    <row r="47" spans="2:167" s="60" customFormat="1" ht="12.75" customHeight="1">
      <c r="B47" s="158"/>
      <c r="C47" s="6" t="s">
        <v>209</v>
      </c>
      <c r="D47" s="65"/>
      <c r="E47" s="6"/>
      <c r="F47" s="65"/>
      <c r="G47" s="65"/>
      <c r="H47" s="65"/>
      <c r="I47" s="6"/>
      <c r="J47" s="6" t="s">
        <v>209</v>
      </c>
      <c r="L47" s="6"/>
      <c r="M47" s="6"/>
      <c r="P47" s="6"/>
      <c r="Q47" s="6" t="s">
        <v>209</v>
      </c>
      <c r="R47" s="65"/>
      <c r="S47" s="65"/>
      <c r="T47" s="65"/>
      <c r="U47" s="6"/>
      <c r="V47" s="6"/>
      <c r="W47" s="65"/>
      <c r="Y47" s="6"/>
      <c r="Z47" s="6" t="s">
        <v>209</v>
      </c>
      <c r="AA47" s="6"/>
      <c r="AC47" s="65"/>
      <c r="AD47" s="65"/>
      <c r="AF47" s="65"/>
      <c r="AG47" s="6" t="s">
        <v>209</v>
      </c>
      <c r="AI47" s="6"/>
      <c r="AJ47" s="6"/>
      <c r="AK47" s="6"/>
      <c r="AL47" s="242"/>
      <c r="AM47" s="242"/>
      <c r="AN47" s="6" t="s">
        <v>209</v>
      </c>
      <c r="AO47" s="6"/>
      <c r="AP47" s="6"/>
      <c r="AR47" s="65"/>
      <c r="AS47" s="65"/>
      <c r="AT47" s="65"/>
      <c r="AU47" s="188"/>
      <c r="AV47" s="185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</row>
    <row r="48" spans="2:167" s="60" customFormat="1" ht="12.75" customHeight="1">
      <c r="B48" s="158"/>
      <c r="C48" s="6" t="s">
        <v>210</v>
      </c>
      <c r="D48" s="65"/>
      <c r="E48" s="6"/>
      <c r="F48" s="65"/>
      <c r="G48" s="65"/>
      <c r="H48" s="65"/>
      <c r="I48" s="6"/>
      <c r="J48" s="6" t="s">
        <v>210</v>
      </c>
      <c r="L48" s="6"/>
      <c r="M48" s="6"/>
      <c r="P48" s="6"/>
      <c r="Q48" s="6" t="s">
        <v>210</v>
      </c>
      <c r="R48" s="65"/>
      <c r="S48" s="65"/>
      <c r="T48" s="65"/>
      <c r="U48" s="6"/>
      <c r="V48" s="6"/>
      <c r="W48" s="65"/>
      <c r="Y48" s="6"/>
      <c r="Z48" s="6" t="s">
        <v>210</v>
      </c>
      <c r="AA48" s="6"/>
      <c r="AC48" s="65"/>
      <c r="AD48" s="65"/>
      <c r="AF48" s="65"/>
      <c r="AG48" s="6" t="s">
        <v>210</v>
      </c>
      <c r="AI48" s="6"/>
      <c r="AJ48" s="6"/>
      <c r="AK48" s="6"/>
      <c r="AL48" s="242"/>
      <c r="AM48" s="242"/>
      <c r="AN48" s="6" t="s">
        <v>210</v>
      </c>
      <c r="AO48" s="6"/>
      <c r="AP48" s="6"/>
      <c r="AR48" s="65"/>
      <c r="AS48" s="65"/>
      <c r="AT48" s="65"/>
      <c r="AU48" s="188"/>
      <c r="AV48" s="185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</row>
    <row r="49" spans="2:167" s="60" customFormat="1" ht="12.75" customHeight="1">
      <c r="B49" s="158"/>
      <c r="C49" s="6" t="s">
        <v>211</v>
      </c>
      <c r="D49" s="65"/>
      <c r="E49" s="6"/>
      <c r="F49" s="65"/>
      <c r="G49" s="65"/>
      <c r="H49" s="65"/>
      <c r="I49" s="6"/>
      <c r="J49" s="6" t="s">
        <v>211</v>
      </c>
      <c r="L49" s="6"/>
      <c r="M49" s="6"/>
      <c r="P49" s="6"/>
      <c r="Q49" s="6" t="s">
        <v>211</v>
      </c>
      <c r="R49" s="65"/>
      <c r="S49" s="65"/>
      <c r="T49" s="65"/>
      <c r="U49" s="6"/>
      <c r="V49" s="6"/>
      <c r="W49" s="65"/>
      <c r="Y49" s="6"/>
      <c r="Z49" s="6" t="s">
        <v>211</v>
      </c>
      <c r="AA49" s="6"/>
      <c r="AC49" s="65"/>
      <c r="AD49" s="65"/>
      <c r="AF49" s="65"/>
      <c r="AG49" s="6" t="s">
        <v>211</v>
      </c>
      <c r="AI49" s="6"/>
      <c r="AJ49" s="6"/>
      <c r="AK49" s="6"/>
      <c r="AL49" s="65"/>
      <c r="AM49" s="6"/>
      <c r="AN49" s="6" t="s">
        <v>211</v>
      </c>
      <c r="AO49" s="6"/>
      <c r="AP49" s="6"/>
      <c r="AR49" s="65"/>
      <c r="AS49" s="65"/>
      <c r="AT49" s="65"/>
      <c r="AU49" s="188"/>
      <c r="AV49" s="185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</row>
    <row r="50" spans="2:167" s="60" customFormat="1" ht="12.75" customHeight="1">
      <c r="B50" s="158"/>
      <c r="C50" s="6" t="s">
        <v>212</v>
      </c>
      <c r="D50" s="65"/>
      <c r="E50" s="6"/>
      <c r="F50" s="65"/>
      <c r="G50" s="65"/>
      <c r="H50" s="65"/>
      <c r="I50" s="6"/>
      <c r="J50" s="6" t="s">
        <v>212</v>
      </c>
      <c r="L50" s="6"/>
      <c r="M50" s="6"/>
      <c r="P50" s="6"/>
      <c r="Q50" s="6" t="s">
        <v>212</v>
      </c>
      <c r="R50" s="65"/>
      <c r="S50" s="65"/>
      <c r="T50" s="65"/>
      <c r="U50" s="6"/>
      <c r="V50" s="6"/>
      <c r="W50" s="65"/>
      <c r="Y50" s="6"/>
      <c r="Z50" s="6" t="s">
        <v>212</v>
      </c>
      <c r="AA50" s="6"/>
      <c r="AC50" s="65"/>
      <c r="AD50" s="65"/>
      <c r="AF50" s="65"/>
      <c r="AG50" s="6" t="s">
        <v>212</v>
      </c>
      <c r="AI50" s="6"/>
      <c r="AJ50" s="6"/>
      <c r="AK50" s="6"/>
      <c r="AL50" s="65"/>
      <c r="AM50" s="6"/>
      <c r="AN50" s="6" t="s">
        <v>212</v>
      </c>
      <c r="AO50" s="6"/>
      <c r="AP50" s="6"/>
      <c r="AR50" s="65"/>
      <c r="AS50" s="65"/>
      <c r="AT50" s="65"/>
      <c r="AU50" s="188"/>
      <c r="AV50" s="185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</row>
    <row r="51" spans="2:167" s="60" customFormat="1" ht="12.75" customHeight="1">
      <c r="B51" s="158"/>
      <c r="C51" s="6" t="s">
        <v>213</v>
      </c>
      <c r="D51" s="65"/>
      <c r="E51" s="6"/>
      <c r="F51" s="65"/>
      <c r="G51" s="65"/>
      <c r="H51" s="65"/>
      <c r="I51" s="6"/>
      <c r="J51" s="6" t="s">
        <v>213</v>
      </c>
      <c r="L51" s="6"/>
      <c r="M51" s="6"/>
      <c r="P51" s="6"/>
      <c r="Q51" s="6" t="s">
        <v>213</v>
      </c>
      <c r="R51" s="65"/>
      <c r="S51" s="65"/>
      <c r="T51" s="65"/>
      <c r="U51" s="6"/>
      <c r="V51" s="6"/>
      <c r="W51" s="65"/>
      <c r="Y51" s="6"/>
      <c r="Z51" s="6" t="s">
        <v>213</v>
      </c>
      <c r="AA51" s="6"/>
      <c r="AC51" s="65"/>
      <c r="AD51" s="65"/>
      <c r="AF51" s="65"/>
      <c r="AG51" s="6" t="s">
        <v>213</v>
      </c>
      <c r="AI51" s="6"/>
      <c r="AJ51" s="6"/>
      <c r="AK51" s="6"/>
      <c r="AL51" s="65"/>
      <c r="AM51" s="6"/>
      <c r="AN51" s="6" t="s">
        <v>213</v>
      </c>
      <c r="AO51" s="6"/>
      <c r="AP51" s="6"/>
      <c r="AR51" s="65"/>
      <c r="AS51" s="65"/>
      <c r="AT51" s="65"/>
      <c r="AU51" s="186"/>
      <c r="AV51" s="185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</row>
    <row r="52" spans="2:167" s="60" customFormat="1" ht="12.75" customHeight="1">
      <c r="B52" s="158"/>
      <c r="C52" s="6"/>
      <c r="D52" s="65"/>
      <c r="E52" s="65"/>
      <c r="F52" s="65"/>
      <c r="G52" s="65"/>
      <c r="H52" s="65"/>
      <c r="I52" s="65"/>
      <c r="J52" s="65"/>
      <c r="K52" s="6"/>
      <c r="L52" s="6"/>
      <c r="M52" s="6"/>
      <c r="N52" s="6"/>
      <c r="O52" s="6"/>
      <c r="P52" s="65"/>
      <c r="Q52" s="6"/>
      <c r="R52" s="65"/>
      <c r="S52" s="65"/>
      <c r="T52" s="65"/>
      <c r="U52" s="6"/>
      <c r="V52" s="6"/>
      <c r="W52" s="65"/>
      <c r="X52" s="65"/>
      <c r="Y52" s="6"/>
      <c r="Z52" s="6"/>
      <c r="AA52" s="6"/>
      <c r="AB52" s="65"/>
      <c r="AC52" s="65"/>
      <c r="AD52" s="65"/>
      <c r="AE52" s="62"/>
      <c r="AF52" s="65"/>
      <c r="AG52" s="6"/>
      <c r="AH52" s="65"/>
      <c r="AI52" s="65"/>
      <c r="AJ52" s="6"/>
      <c r="AK52" s="65"/>
      <c r="AL52" s="65"/>
      <c r="AM52" s="6"/>
      <c r="AN52" s="65"/>
      <c r="AO52" s="6"/>
      <c r="AP52" s="6"/>
      <c r="AQ52" s="65"/>
      <c r="AR52" s="65"/>
      <c r="AS52" s="65"/>
      <c r="AT52" s="65"/>
      <c r="AU52" s="186"/>
      <c r="AV52" s="185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</row>
    <row r="53" spans="2:167" s="60" customFormat="1" ht="12.75" customHeight="1">
      <c r="B53" s="15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"/>
      <c r="N53" s="6"/>
      <c r="O53" s="6"/>
      <c r="P53" s="65"/>
      <c r="Q53" s="6"/>
      <c r="R53" s="65"/>
      <c r="S53" s="65"/>
      <c r="T53" s="65"/>
      <c r="U53" s="6"/>
      <c r="V53" s="6"/>
      <c r="W53" s="65"/>
      <c r="X53" s="65"/>
      <c r="Y53" s="6"/>
      <c r="Z53" s="65"/>
      <c r="AA53" s="65"/>
      <c r="AB53" s="65"/>
      <c r="AC53" s="65"/>
      <c r="AD53" s="65"/>
      <c r="AE53" s="62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189"/>
      <c r="AV53" s="225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</row>
    <row r="54" spans="2:167" s="60" customFormat="1" ht="12.75" customHeight="1">
      <c r="B54" s="15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8"/>
      <c r="N54" s="68"/>
      <c r="O54" s="68"/>
      <c r="P54" s="65"/>
      <c r="Q54" s="6"/>
      <c r="R54" s="64"/>
      <c r="S54" s="64"/>
      <c r="T54" s="64"/>
      <c r="U54" s="68"/>
      <c r="V54" s="68"/>
      <c r="W54" s="64"/>
      <c r="X54" s="64"/>
      <c r="Y54" s="68"/>
      <c r="Z54" s="64"/>
      <c r="AA54" s="64"/>
      <c r="AB54" s="64"/>
      <c r="AC54" s="64"/>
      <c r="AD54" s="64"/>
      <c r="AF54" s="65"/>
      <c r="AG54" s="65"/>
      <c r="AH54" s="64"/>
      <c r="AI54" s="64"/>
      <c r="AJ54" s="65"/>
      <c r="AK54" s="64"/>
      <c r="AL54" s="64"/>
      <c r="AM54" s="64"/>
      <c r="AN54" s="64"/>
      <c r="AO54" s="64"/>
      <c r="AP54" s="64"/>
      <c r="AQ54" s="64"/>
      <c r="AR54" s="65"/>
      <c r="AS54" s="65"/>
      <c r="AT54" s="64"/>
      <c r="AU54" s="189"/>
      <c r="AV54" s="225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</row>
    <row r="55" spans="2:167" s="60" customFormat="1" ht="12.75" customHeight="1">
      <c r="B55" s="158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8"/>
      <c r="N55" s="68"/>
      <c r="O55" s="68"/>
      <c r="P55" s="65"/>
      <c r="Q55" s="6"/>
      <c r="R55" s="64"/>
      <c r="S55" s="64"/>
      <c r="T55" s="64"/>
      <c r="U55" s="68"/>
      <c r="V55" s="68"/>
      <c r="W55" s="64"/>
      <c r="X55" s="64"/>
      <c r="Y55" s="68"/>
      <c r="Z55" s="64"/>
      <c r="AA55" s="64"/>
      <c r="AB55" s="64"/>
      <c r="AC55" s="64"/>
      <c r="AD55" s="64"/>
      <c r="AF55" s="65"/>
      <c r="AG55" s="65"/>
      <c r="AH55" s="64"/>
      <c r="AI55" s="64"/>
      <c r="AJ55" s="65"/>
      <c r="AK55" s="64"/>
      <c r="AL55" s="64"/>
      <c r="AM55" s="64"/>
      <c r="AN55" s="64"/>
      <c r="AO55" s="64"/>
      <c r="AP55" s="64"/>
      <c r="AQ55" s="64"/>
      <c r="AR55" s="65"/>
      <c r="AS55" s="65"/>
      <c r="AT55" s="64"/>
      <c r="AU55" s="189"/>
      <c r="AV55" s="225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</row>
    <row r="56" spans="1:46" ht="12.75" customHeight="1">
      <c r="A56" s="26" t="s">
        <v>317</v>
      </c>
      <c r="C56" s="32" t="s">
        <v>336</v>
      </c>
      <c r="D56" s="32" t="s">
        <v>337</v>
      </c>
      <c r="E56" s="32" t="s">
        <v>338</v>
      </c>
      <c r="F56" s="32" t="s">
        <v>344</v>
      </c>
      <c r="G56" s="32" t="s">
        <v>326</v>
      </c>
      <c r="H56" s="32" t="s">
        <v>327</v>
      </c>
      <c r="I56" s="32" t="s">
        <v>328</v>
      </c>
      <c r="J56" s="32" t="s">
        <v>348</v>
      </c>
      <c r="K56" s="32" t="s">
        <v>349</v>
      </c>
      <c r="L56" s="32" t="s">
        <v>350</v>
      </c>
      <c r="M56" s="32" t="s">
        <v>351</v>
      </c>
      <c r="N56" s="32" t="s">
        <v>352</v>
      </c>
      <c r="O56" s="32" t="s">
        <v>353</v>
      </c>
      <c r="P56" s="32" t="s">
        <v>354</v>
      </c>
      <c r="Q56" s="32" t="s">
        <v>318</v>
      </c>
      <c r="R56" s="32" t="s">
        <v>319</v>
      </c>
      <c r="S56" s="32" t="s">
        <v>320</v>
      </c>
      <c r="T56" s="32" t="s">
        <v>321</v>
      </c>
      <c r="U56" s="32" t="s">
        <v>356</v>
      </c>
      <c r="V56" s="32" t="s">
        <v>357</v>
      </c>
      <c r="W56" s="32" t="s">
        <v>358</v>
      </c>
      <c r="X56" s="32" t="s">
        <v>359</v>
      </c>
      <c r="Y56" s="32" t="s">
        <v>360</v>
      </c>
      <c r="Z56" s="32" t="s">
        <v>323</v>
      </c>
      <c r="AA56" s="32" t="s">
        <v>324</v>
      </c>
      <c r="AB56" s="32" t="s">
        <v>325</v>
      </c>
      <c r="AC56" s="32" t="s">
        <v>334</v>
      </c>
      <c r="AD56" s="32" t="s">
        <v>335</v>
      </c>
      <c r="AE56" s="32" t="s">
        <v>355</v>
      </c>
      <c r="AF56" s="26" t="s">
        <v>322</v>
      </c>
      <c r="AG56" s="32" t="s">
        <v>333</v>
      </c>
      <c r="AH56" s="32" t="s">
        <v>342</v>
      </c>
      <c r="AI56" s="32" t="s">
        <v>343</v>
      </c>
      <c r="AJ56" s="26" t="s">
        <v>345</v>
      </c>
      <c r="AK56" s="32" t="s">
        <v>339</v>
      </c>
      <c r="AL56" s="32" t="s">
        <v>339</v>
      </c>
      <c r="AM56" s="32" t="s">
        <v>340</v>
      </c>
      <c r="AN56" s="32" t="s">
        <v>329</v>
      </c>
      <c r="AO56" s="32" t="s">
        <v>330</v>
      </c>
      <c r="AP56" s="32" t="s">
        <v>331</v>
      </c>
      <c r="AQ56" s="32" t="s">
        <v>332</v>
      </c>
      <c r="AR56" s="26" t="s">
        <v>346</v>
      </c>
      <c r="AS56" s="26" t="s">
        <v>347</v>
      </c>
      <c r="AT56" s="32" t="s">
        <v>341</v>
      </c>
    </row>
    <row r="57" spans="1:167" s="60" customFormat="1" ht="12.75" customHeight="1">
      <c r="A57" s="6"/>
      <c r="B57" s="168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8"/>
      <c r="N57" s="68"/>
      <c r="O57" s="68"/>
      <c r="P57" s="65"/>
      <c r="Q57" s="64"/>
      <c r="R57" s="64"/>
      <c r="S57" s="64"/>
      <c r="T57" s="64"/>
      <c r="U57" s="68"/>
      <c r="V57" s="68"/>
      <c r="W57" s="64"/>
      <c r="X57" s="64"/>
      <c r="Y57" s="68"/>
      <c r="Z57" s="64"/>
      <c r="AA57" s="64"/>
      <c r="AB57" s="64"/>
      <c r="AC57" s="64"/>
      <c r="AD57" s="64"/>
      <c r="AF57" s="65"/>
      <c r="AG57" s="65"/>
      <c r="AH57" s="64"/>
      <c r="AI57" s="64"/>
      <c r="AJ57" s="65"/>
      <c r="AK57" s="64"/>
      <c r="AL57" s="64"/>
      <c r="AM57" s="64"/>
      <c r="AN57" s="64"/>
      <c r="AO57" s="64"/>
      <c r="AP57" s="64"/>
      <c r="AQ57" s="64"/>
      <c r="AR57" s="65"/>
      <c r="AS57" s="65"/>
      <c r="AT57" s="64"/>
      <c r="AU57" s="189"/>
      <c r="AV57" s="225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</row>
    <row r="58" spans="1:49" ht="12.75" customHeight="1">
      <c r="A58" s="14" t="s">
        <v>218</v>
      </c>
      <c r="B58" s="138"/>
      <c r="E58" s="68"/>
      <c r="F58" s="68"/>
      <c r="P58" s="68"/>
      <c r="W58" s="68"/>
      <c r="X58" s="68"/>
      <c r="Y58" s="46"/>
      <c r="AE58" s="68"/>
      <c r="AG58" s="68"/>
      <c r="AI58" s="68"/>
      <c r="AJ58" s="6"/>
      <c r="AK58" s="68"/>
      <c r="AR58" s="6"/>
      <c r="AS58" s="6"/>
      <c r="AU58" s="190"/>
      <c r="AV58" s="226"/>
      <c r="AW58" s="68"/>
    </row>
    <row r="59" spans="1:49" ht="12.75" customHeight="1">
      <c r="A59" s="14" t="s">
        <v>178</v>
      </c>
      <c r="B59" s="13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6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191"/>
      <c r="AV59" s="11"/>
      <c r="AW59" s="6"/>
    </row>
    <row r="60" spans="1:49" ht="12.75" customHeight="1">
      <c r="A60" s="6" t="s">
        <v>219</v>
      </c>
      <c r="B60" s="138"/>
      <c r="C60" s="11">
        <f>+'5.1. Séreignard.'!C32-'5.1. Séreignard.'!C40</f>
        <v>578111</v>
      </c>
      <c r="D60" s="11">
        <f>+'5.1. Séreignard.'!D32-'5.1. Séreignard.'!D40</f>
        <v>135390</v>
      </c>
      <c r="E60" s="11">
        <f>+'5.1. Séreignard.'!E32-'5.1. Séreignard.'!E40</f>
        <v>43335</v>
      </c>
      <c r="F60" s="11">
        <f>+'5.1. Séreignard.'!F32-'5.1. Séreignard.'!F40</f>
        <v>908229</v>
      </c>
      <c r="G60" s="11">
        <f>+'5.1. Séreignard.'!G32-'5.1. Séreignard.'!G40</f>
        <v>98179</v>
      </c>
      <c r="H60" s="11">
        <f>+'5.1. Séreignard.'!H32-'5.1. Séreignard.'!H40</f>
        <v>132757</v>
      </c>
      <c r="I60" s="11">
        <f>+'5.1. Séreignard.'!I32-'5.1. Séreignard.'!I40</f>
        <v>2437</v>
      </c>
      <c r="J60" s="11">
        <f>+'5.1. Séreignard.'!J32-'5.1. Séreignard.'!J40</f>
        <v>9890</v>
      </c>
      <c r="K60" s="11">
        <f>+'5.1. Séreignard.'!K32-'5.1. Séreignard.'!K40</f>
        <v>11484</v>
      </c>
      <c r="L60" s="11">
        <f>+'5.1. Séreignard.'!L32-'5.1. Séreignard.'!L40</f>
        <v>7285</v>
      </c>
      <c r="M60" s="11">
        <f>+'5.1. Séreignard.'!M32-'5.1. Séreignard.'!M40</f>
        <v>8098</v>
      </c>
      <c r="N60" s="11">
        <f>+'5.1. Séreignard.'!N32-'5.1. Séreignard.'!N40</f>
        <v>935</v>
      </c>
      <c r="O60" s="11">
        <f>+'5.1. Séreignard.'!O32-'5.1. Séreignard.'!O40</f>
        <v>52646</v>
      </c>
      <c r="P60" s="11">
        <f>+'5.1. Séreignard.'!P32-'5.1. Séreignard.'!P40</f>
        <v>232767</v>
      </c>
      <c r="Q60" s="11">
        <f>+'5.1. Séreignard.'!Q32-'5.1. Séreignard.'!Q40</f>
        <v>1813990</v>
      </c>
      <c r="R60" s="11">
        <f>+'5.1. Séreignard.'!R32-'5.1. Séreignard.'!R40</f>
        <v>5150492</v>
      </c>
      <c r="S60" s="11">
        <f>+'5.1. Séreignard.'!S32-'5.1. Séreignard.'!S40</f>
        <v>360332</v>
      </c>
      <c r="T60" s="11">
        <f>+'5.1. Séreignard.'!T32-'5.1. Séreignard.'!T40</f>
        <v>147900</v>
      </c>
      <c r="U60" s="11">
        <f>+'5.1. Séreignard.'!U32-'5.1. Séreignard.'!U40</f>
        <v>783</v>
      </c>
      <c r="V60" s="11">
        <f>+'5.1. Séreignard.'!V32-'5.1. Séreignard.'!V40</f>
        <v>82872</v>
      </c>
      <c r="W60" s="11">
        <f>+'5.1. Séreignard.'!W32-'5.1. Séreignard.'!W40</f>
        <v>29569</v>
      </c>
      <c r="X60" s="11">
        <f>+'5.1. Séreignard.'!X32-'5.1. Séreignard.'!X40</f>
        <v>20054</v>
      </c>
      <c r="Y60" s="11">
        <f>+'5.1. Séreignard.'!Y32-'5.1. Séreignard.'!Y40</f>
        <v>288564</v>
      </c>
      <c r="Z60" s="11">
        <f>+'5.1. Séreignard.'!Z32-'5.1. Séreignard.'!Z40</f>
        <v>5908872</v>
      </c>
      <c r="AA60" s="11">
        <f>+'5.1. Séreignard.'!AA32-'5.1. Séreignard.'!AA40</f>
        <v>277151</v>
      </c>
      <c r="AB60" s="11">
        <f>+'5.1. Séreignard.'!AB32-'5.1. Séreignard.'!AB40</f>
        <v>351641</v>
      </c>
      <c r="AC60" s="11">
        <f>+'5.1. Séreignard.'!AC32-'5.1. Séreignard.'!AC40</f>
        <v>70753</v>
      </c>
      <c r="AD60" s="11">
        <f>+'5.1. Séreignard.'!AD32-'5.1. Séreignard.'!AD40</f>
        <v>294008</v>
      </c>
      <c r="AE60" s="11">
        <f>+'5.1. Séreignard.'!AE32-'5.1. Séreignard.'!AE40</f>
        <v>31228</v>
      </c>
      <c r="AF60" s="11">
        <f>+'5.1. Séreignard.'!AF32-'5.1. Séreignard.'!AF40</f>
        <v>12827</v>
      </c>
      <c r="AG60" s="11">
        <f>+'5.1. Séreignard.'!AG32-'5.1. Séreignard.'!AG40</f>
        <v>13696</v>
      </c>
      <c r="AH60" s="11">
        <f>+'5.1. Séreignard.'!AH32-'5.1. Séreignard.'!AH40</f>
        <v>96465</v>
      </c>
      <c r="AI60" s="11">
        <f>+'5.1. Séreignard.'!AI32-'5.1. Séreignard.'!AI40</f>
        <v>1798</v>
      </c>
      <c r="AJ60" s="11">
        <f>+'5.1. Séreignard.'!AJ32-'5.1. Séreignard.'!AJ40</f>
        <v>52517</v>
      </c>
      <c r="AK60" s="11">
        <f>+'5.1. Séreignard.'!AK32-'5.1. Séreignard.'!AK40</f>
        <v>85111</v>
      </c>
      <c r="AL60" s="11">
        <f>+'5.1. Séreignard.'!AL32-'5.1. Séreignard.'!AL40</f>
        <v>8315</v>
      </c>
      <c r="AM60" s="11">
        <f>+'5.1. Séreignard.'!AM32-'5.1. Séreignard.'!AM40</f>
        <v>5426</v>
      </c>
      <c r="AN60" s="11">
        <f>+'5.1. Séreignard.'!AN32-'5.1. Séreignard.'!AN40</f>
        <v>1267259</v>
      </c>
      <c r="AO60" s="11">
        <f>+'5.1. Séreignard.'!AO32-'5.1. Séreignard.'!AO40</f>
        <v>1041731</v>
      </c>
      <c r="AP60" s="11">
        <f>+'5.1. Séreignard.'!AP32-'5.1. Séreignard.'!AP40</f>
        <v>315312</v>
      </c>
      <c r="AQ60" s="11">
        <f>+'5.1. Séreignard.'!AQ32-'5.1. Séreignard.'!AQ40</f>
        <v>132769</v>
      </c>
      <c r="AR60" s="11">
        <f>+'5.1. Séreignard.'!AR32-'5.1. Séreignard.'!AR40</f>
        <v>3676</v>
      </c>
      <c r="AS60" s="11">
        <f>+'5.1. Séreignard.'!AS32-'5.1. Séreignard.'!AS40</f>
        <v>16077</v>
      </c>
      <c r="AT60" s="11">
        <f>+'5.1. Séreignard.'!AT32-'5.1. Séreignard.'!AT40</f>
        <v>296809</v>
      </c>
      <c r="AU60" s="11"/>
      <c r="AV60" s="11">
        <f>+'5.1. Séreignard.'!AV32-'5.1. Séreignard.'!AV40</f>
        <v>20399540</v>
      </c>
      <c r="AW60" s="6"/>
    </row>
    <row r="61" spans="1:49" ht="12.75" customHeight="1">
      <c r="A61" s="6" t="s">
        <v>220</v>
      </c>
      <c r="B61" s="138"/>
      <c r="C61" s="11">
        <f>+'5.1. Séreignard.'!C45+'5.1. Séreignard.'!C49-'5.1. Séreignard.'!C47</f>
        <v>3142</v>
      </c>
      <c r="D61" s="11">
        <f>+'5.1. Séreignard.'!D45+'5.1. Séreignard.'!D49-'5.1. Séreignard.'!D47</f>
        <v>981</v>
      </c>
      <c r="E61" s="11">
        <f>+'5.1. Séreignard.'!E45+'5.1. Séreignard.'!E49-'5.1. Séreignard.'!E47</f>
        <v>358</v>
      </c>
      <c r="F61" s="11">
        <f>+'5.1. Séreignard.'!F45+'5.1. Séreignard.'!F49-'5.1. Séreignard.'!F47</f>
        <v>1510</v>
      </c>
      <c r="G61" s="11">
        <f>+'5.1. Séreignard.'!G45+'5.1. Séreignard.'!G49-'5.1. Séreignard.'!G47</f>
        <v>3211</v>
      </c>
      <c r="H61" s="11">
        <f>+'5.1. Séreignard.'!H45+'5.1. Séreignard.'!H49-'5.1. Séreignard.'!H47</f>
        <v>5807</v>
      </c>
      <c r="I61" s="11">
        <f>+'5.1. Séreignard.'!I45+'5.1. Séreignard.'!I49-'5.1. Séreignard.'!I47</f>
        <v>-18</v>
      </c>
      <c r="J61" s="11">
        <f>+'5.1. Séreignard.'!J45+'5.1. Séreignard.'!J49-'5.1. Séreignard.'!J47</f>
        <v>59</v>
      </c>
      <c r="K61" s="11">
        <f>+'5.1. Séreignard.'!K45+'5.1. Séreignard.'!K49-'5.1. Séreignard.'!K47</f>
        <v>82</v>
      </c>
      <c r="L61" s="11">
        <f>+'5.1. Séreignard.'!L45+'5.1. Séreignard.'!L49-'5.1. Séreignard.'!L47</f>
        <v>48</v>
      </c>
      <c r="M61" s="11">
        <f>+'5.1. Séreignard.'!M45+'5.1. Séreignard.'!M49-'5.1. Séreignard.'!M47</f>
        <v>65</v>
      </c>
      <c r="N61" s="11">
        <f>+'5.1. Séreignard.'!N45+'5.1. Séreignard.'!N49-'5.1. Séreignard.'!N47</f>
        <v>6</v>
      </c>
      <c r="O61" s="11">
        <f>+'5.1. Séreignard.'!O45+'5.1. Séreignard.'!O49-'5.1. Séreignard.'!O47</f>
        <v>288</v>
      </c>
      <c r="P61" s="11">
        <f>+'5.1. Séreignard.'!P45+'5.1. Séreignard.'!P49-'5.1. Séreignard.'!P47</f>
        <v>1414</v>
      </c>
      <c r="Q61" s="11">
        <f>+'5.1. Séreignard.'!Q45+'5.1. Séreignard.'!Q49-'5.1. Séreignard.'!Q47</f>
        <v>10691</v>
      </c>
      <c r="R61" s="11">
        <f>+'5.1. Séreignard.'!R45+'5.1. Séreignard.'!R49-'5.1. Séreignard.'!R47</f>
        <v>33125</v>
      </c>
      <c r="S61" s="11">
        <f>+'5.1. Séreignard.'!S45+'5.1. Séreignard.'!S49-'5.1. Séreignard.'!S47</f>
        <v>3281</v>
      </c>
      <c r="T61" s="11">
        <f>+'5.1. Séreignard.'!T45+'5.1. Séreignard.'!T49-'5.1. Séreignard.'!T47</f>
        <v>1583</v>
      </c>
      <c r="U61" s="11">
        <f>+'5.1. Séreignard.'!U45+'5.1. Séreignard.'!U49-'5.1. Séreignard.'!U47</f>
        <v>13</v>
      </c>
      <c r="V61" s="11">
        <f>+'5.1. Séreignard.'!V45+'5.1. Séreignard.'!V49-'5.1. Séreignard.'!V47</f>
        <v>1769</v>
      </c>
      <c r="W61" s="11">
        <f>+'5.1. Séreignard.'!W45+'5.1. Séreignard.'!W49-'5.1. Séreignard.'!W47</f>
        <v>505</v>
      </c>
      <c r="X61" s="11">
        <f>+'5.1. Séreignard.'!X45+'5.1. Séreignard.'!X49-'5.1. Séreignard.'!X47</f>
        <v>347</v>
      </c>
      <c r="Y61" s="11">
        <f>+'5.1. Séreignard.'!Y45+'5.1. Séreignard.'!Y49-'5.1. Séreignard.'!Y47</f>
        <v>17745</v>
      </c>
      <c r="Z61" s="11">
        <f>+'5.1. Séreignard.'!Z45+'5.1. Séreignard.'!Z49-'5.1. Séreignard.'!Z47</f>
        <v>49153</v>
      </c>
      <c r="AA61" s="11">
        <f>+'5.1. Séreignard.'!AA45+'5.1. Séreignard.'!AA49-'5.1. Séreignard.'!AA47</f>
        <v>3490</v>
      </c>
      <c r="AB61" s="11">
        <f>+'5.1. Séreignard.'!AB45+'5.1. Séreignard.'!AB49-'5.1. Séreignard.'!AB47</f>
        <v>5861</v>
      </c>
      <c r="AC61" s="11">
        <f>+'5.1. Séreignard.'!AC45+'5.1. Séreignard.'!AC49-'5.1. Séreignard.'!AC47</f>
        <v>1223</v>
      </c>
      <c r="AD61" s="11">
        <f>+'5.1. Séreignard.'!AD45+'5.1. Séreignard.'!AD49-'5.1. Séreignard.'!AD47</f>
        <v>4782</v>
      </c>
      <c r="AE61" s="11">
        <f>+'5.1. Séreignard.'!AE45+'5.1. Séreignard.'!AE49-'5.1. Séreignard.'!AE47</f>
        <v>536</v>
      </c>
      <c r="AF61" s="11">
        <f>+'5.1. Séreignard.'!AF45+'5.1. Séreignard.'!AF49-'5.1. Séreignard.'!AF47</f>
        <v>120</v>
      </c>
      <c r="AG61" s="11">
        <f>+'5.1. Séreignard.'!AG45+'5.1. Séreignard.'!AG49-'5.1. Séreignard.'!AG47</f>
        <v>0</v>
      </c>
      <c r="AH61" s="11">
        <f>+'5.1. Séreignard.'!AH45+'5.1. Séreignard.'!AH49-'5.1. Séreignard.'!AH47</f>
        <v>977</v>
      </c>
      <c r="AI61" s="11">
        <f>+'5.1. Séreignard.'!AI45+'5.1. Séreignard.'!AI49-'5.1. Séreignard.'!AI47</f>
        <v>26</v>
      </c>
      <c r="AJ61" s="11">
        <f>+'5.1. Séreignard.'!AJ45+'5.1. Séreignard.'!AJ49-'5.1. Séreignard.'!AJ47</f>
        <v>479</v>
      </c>
      <c r="AK61" s="11">
        <f>+'5.1. Séreignard.'!AK45+'5.1. Séreignard.'!AK49-'5.1. Séreignard.'!AK47</f>
        <v>100</v>
      </c>
      <c r="AL61" s="11">
        <f>+'5.1. Séreignard.'!AL45+'5.1. Séreignard.'!AL49-'5.1. Séreignard.'!AL47</f>
        <v>100</v>
      </c>
      <c r="AM61" s="11">
        <f>+'5.1. Séreignard.'!AM45+'5.1. Séreignard.'!AM49-'5.1. Séreignard.'!AM47</f>
        <v>100</v>
      </c>
      <c r="AN61" s="11">
        <f>+'5.1. Séreignard.'!AN45+'5.1. Séreignard.'!AN49-'5.1. Séreignard.'!AN47</f>
        <v>11145</v>
      </c>
      <c r="AO61" s="11">
        <f>+'5.1. Séreignard.'!AO45+'5.1. Séreignard.'!AO49-'5.1. Séreignard.'!AO47</f>
        <v>18979</v>
      </c>
      <c r="AP61" s="11">
        <f>+'5.1. Séreignard.'!AP45+'5.1. Séreignard.'!AP49-'5.1. Séreignard.'!AP47</f>
        <v>7734</v>
      </c>
      <c r="AQ61" s="11">
        <f>+'5.1. Séreignard.'!AQ45+'5.1. Séreignard.'!AQ49-'5.1. Séreignard.'!AQ47</f>
        <v>0</v>
      </c>
      <c r="AR61" s="11">
        <f>+'5.1. Séreignard.'!AR45+'5.1. Séreignard.'!AR49-'5.1. Séreignard.'!AR47</f>
        <v>45</v>
      </c>
      <c r="AS61" s="11">
        <f>+'5.1. Séreignard.'!AS45+'5.1. Séreignard.'!AS49-'5.1. Séreignard.'!AS47</f>
        <v>134</v>
      </c>
      <c r="AT61" s="11">
        <f>+'5.1. Séreignard.'!AT45+'5.1. Séreignard.'!AT49-'5.1. Séreignard.'!AT47</f>
        <v>0</v>
      </c>
      <c r="AU61" s="11"/>
      <c r="AV61" s="11">
        <f>+'5.1. Séreignard.'!AV45+'5.1. Séreignard.'!AV49-'5.1. Séreignard.'!AV47</f>
        <v>190996</v>
      </c>
      <c r="AW61" s="6"/>
    </row>
    <row r="62" spans="1:49" ht="12.75" customHeight="1">
      <c r="A62" s="6" t="s">
        <v>249</v>
      </c>
      <c r="B62" s="138"/>
      <c r="C62" s="28">
        <f>+'5.1. Séreignard.'!C62</f>
        <v>3014754</v>
      </c>
      <c r="D62" s="28">
        <f>+'5.1. Séreignard.'!D62</f>
        <v>916329</v>
      </c>
      <c r="E62" s="28">
        <f>+'5.1. Séreignard.'!E62</f>
        <v>351505</v>
      </c>
      <c r="F62" s="28">
        <f>+'5.1. Séreignard.'!F62</f>
        <v>4124096</v>
      </c>
      <c r="G62" s="28">
        <f>+'5.1. Séreignard.'!G62</f>
        <v>610279</v>
      </c>
      <c r="H62" s="28">
        <f>+'5.1. Séreignard.'!H62</f>
        <v>962017</v>
      </c>
      <c r="I62" s="28">
        <f>+'5.1. Séreignard.'!I62</f>
        <v>21854</v>
      </c>
      <c r="J62" s="28">
        <f>+'5.1. Séreignard.'!J62</f>
        <v>44439</v>
      </c>
      <c r="K62" s="28">
        <f>+'5.1. Séreignard.'!K62</f>
        <v>61905</v>
      </c>
      <c r="L62" s="28">
        <f>+'5.1. Séreignard.'!L62</f>
        <v>35552</v>
      </c>
      <c r="M62" s="28">
        <f>+'5.1. Séreignard.'!M62</f>
        <v>53752</v>
      </c>
      <c r="N62" s="28">
        <f>+'5.1. Séreignard.'!N62</f>
        <v>4026</v>
      </c>
      <c r="O62" s="28">
        <f>+'5.1. Séreignard.'!O62</f>
        <v>271306</v>
      </c>
      <c r="P62" s="28">
        <f>+'5.1. Séreignard.'!P62</f>
        <v>1696996</v>
      </c>
      <c r="Q62" s="28">
        <f>+'5.1. Séreignard.'!Q62</f>
        <v>7429087</v>
      </c>
      <c r="R62" s="28">
        <f>+'5.1. Séreignard.'!R62</f>
        <v>24176529</v>
      </c>
      <c r="S62" s="28">
        <f>+'5.1. Séreignard.'!S62</f>
        <v>2273427</v>
      </c>
      <c r="T62" s="28">
        <f>+'5.1. Séreignard.'!T62</f>
        <v>1238005</v>
      </c>
      <c r="U62" s="28">
        <f>+'5.1. Séreignard.'!U62</f>
        <v>3213</v>
      </c>
      <c r="V62" s="28">
        <f>+'5.1. Séreignard.'!V62</f>
        <v>568399</v>
      </c>
      <c r="W62" s="28">
        <f>+'5.1. Séreignard.'!W62</f>
        <v>166311</v>
      </c>
      <c r="X62" s="28">
        <f>+'5.1. Séreignard.'!X62</f>
        <v>101761</v>
      </c>
      <c r="Y62" s="28">
        <f>+'5.1. Séreignard.'!Y62</f>
        <v>1696120</v>
      </c>
      <c r="Z62" s="28">
        <f>+'5.1. Séreignard.'!Z62</f>
        <v>31153574</v>
      </c>
      <c r="AA62" s="28">
        <f>+'5.1. Séreignard.'!AA62</f>
        <v>2385970</v>
      </c>
      <c r="AB62" s="28">
        <f>+'5.1. Séreignard.'!AB62</f>
        <v>4185436</v>
      </c>
      <c r="AC62" s="28">
        <f>+'5.1. Séreignard.'!AC62</f>
        <v>339856</v>
      </c>
      <c r="AD62" s="28">
        <f>+'5.1. Séreignard.'!AD62</f>
        <v>1264758</v>
      </c>
      <c r="AE62" s="28">
        <f>+'5.1. Séreignard.'!AE62</f>
        <v>268093</v>
      </c>
      <c r="AF62" s="28">
        <f>+'5.1. Séreignard.'!AF62</f>
        <v>76527</v>
      </c>
      <c r="AG62" s="28">
        <f>+'5.1. Séreignard.'!AG62</f>
        <v>73188</v>
      </c>
      <c r="AH62" s="28">
        <f>+'5.1. Séreignard.'!AH62</f>
        <v>1027394</v>
      </c>
      <c r="AI62" s="28">
        <f>+'5.1. Séreignard.'!AI62</f>
        <v>0</v>
      </c>
      <c r="AJ62" s="28">
        <f>+'5.1. Séreignard.'!AJ62</f>
        <v>252648</v>
      </c>
      <c r="AK62" s="28">
        <f>+'5.1. Séreignard.'!AK62</f>
        <v>429367</v>
      </c>
      <c r="AL62" s="28">
        <f>+'5.1. Séreignard.'!AL62</f>
        <v>60872</v>
      </c>
      <c r="AM62" s="28">
        <f>+'5.1. Séreignard.'!AM62</f>
        <v>38845</v>
      </c>
      <c r="AN62" s="28">
        <f>+'5.1. Séreignard.'!AN62</f>
        <v>5556327</v>
      </c>
      <c r="AO62" s="28">
        <f>+'5.1. Séreignard.'!AO62</f>
        <v>5916258</v>
      </c>
      <c r="AP62" s="28">
        <f>+'5.1. Séreignard.'!AP62</f>
        <v>1299641</v>
      </c>
      <c r="AQ62" s="28">
        <f>+'5.1. Séreignard.'!AQ62</f>
        <v>558304</v>
      </c>
      <c r="AR62" s="28">
        <f>+'5.1. Séreignard.'!AR62</f>
        <v>32902</v>
      </c>
      <c r="AS62" s="28">
        <f>+'5.1. Séreignard.'!AS62</f>
        <v>93146</v>
      </c>
      <c r="AT62" s="28">
        <f>+'5.1. Séreignard.'!AT62</f>
        <v>1892284</v>
      </c>
      <c r="AU62" s="28"/>
      <c r="AV62" s="28">
        <f>+'5.1. Séreignard.'!AV62</f>
        <v>106727052</v>
      </c>
      <c r="AW62" s="6"/>
    </row>
    <row r="63" spans="1:49" ht="12.75" customHeight="1">
      <c r="A63" s="6" t="s">
        <v>248</v>
      </c>
      <c r="B63" s="138"/>
      <c r="C63" s="28">
        <f>+'5.1. Séreignard.'!C65</f>
        <v>3966518</v>
      </c>
      <c r="D63" s="28">
        <f>+'5.1. Séreignard.'!D65</f>
        <v>1263047</v>
      </c>
      <c r="E63" s="28">
        <f>+'5.1. Séreignard.'!E65</f>
        <v>444855</v>
      </c>
      <c r="F63" s="28">
        <f>+'5.1. Séreignard.'!F65</f>
        <v>5578829</v>
      </c>
      <c r="G63" s="28">
        <f>+'5.1. Séreignard.'!G65</f>
        <v>793504</v>
      </c>
      <c r="H63" s="28">
        <f>+'5.1. Séreignard.'!H65</f>
        <v>1171141</v>
      </c>
      <c r="I63" s="28">
        <f>+'5.1. Séreignard.'!I65</f>
        <v>21678</v>
      </c>
      <c r="J63" s="28">
        <f>+'5.1. Séreignard.'!J65</f>
        <v>67395</v>
      </c>
      <c r="K63" s="28">
        <f>+'5.1. Séreignard.'!K65</f>
        <v>94680</v>
      </c>
      <c r="L63" s="28">
        <f>+'5.1. Séreignard.'!L65</f>
        <v>55320</v>
      </c>
      <c r="M63" s="28">
        <f>+'5.1. Séreignard.'!M65</f>
        <v>74966</v>
      </c>
      <c r="N63" s="28">
        <f>+'5.1. Séreignard.'!N65</f>
        <v>4994</v>
      </c>
      <c r="O63" s="28">
        <f>+'5.1. Séreignard.'!O65</f>
        <v>342234</v>
      </c>
      <c r="P63" s="28">
        <f>+'5.1. Séreignard.'!P65</f>
        <v>2175832</v>
      </c>
      <c r="Q63" s="28">
        <f>+'5.1. Séreignard.'!Q65</f>
        <v>11032443</v>
      </c>
      <c r="R63" s="28">
        <f>+'5.1. Séreignard.'!R65</f>
        <v>31514856</v>
      </c>
      <c r="S63" s="28">
        <f>+'5.1. Séreignard.'!S65</f>
        <v>3069418</v>
      </c>
      <c r="T63" s="28">
        <f>+'5.1. Séreignard.'!T65</f>
        <v>1392255</v>
      </c>
      <c r="U63" s="28">
        <f>+'5.1. Séreignard.'!U65</f>
        <v>9397</v>
      </c>
      <c r="V63" s="28">
        <f>+'5.1. Séreignard.'!V65</f>
        <v>748167</v>
      </c>
      <c r="W63" s="28">
        <f>+'5.1. Séreignard.'!W65</f>
        <v>199846</v>
      </c>
      <c r="X63" s="28">
        <f>+'5.1. Séreignard.'!X65</f>
        <v>141636</v>
      </c>
      <c r="Y63" s="28">
        <f>+'5.1. Séreignard.'!Y65</f>
        <v>2085619</v>
      </c>
      <c r="Z63" s="28">
        <f>+'5.1. Séreignard.'!Z65</f>
        <v>40932807</v>
      </c>
      <c r="AA63" s="28">
        <f>+'5.1. Séreignard.'!AA65</f>
        <v>2763582</v>
      </c>
      <c r="AB63" s="28">
        <f>+'5.1. Séreignard.'!AB65</f>
        <v>4425902</v>
      </c>
      <c r="AC63" s="28">
        <f>+'5.1. Séreignard.'!AC65</f>
        <v>422992</v>
      </c>
      <c r="AD63" s="28">
        <f>+'5.1. Séreignard.'!AD65</f>
        <v>1653374</v>
      </c>
      <c r="AE63" s="28">
        <f>+'5.1. Séreignard.'!AE65</f>
        <v>330288</v>
      </c>
      <c r="AF63" s="28">
        <f>+'5.1. Séreignard.'!AF65</f>
        <v>101641</v>
      </c>
      <c r="AG63" s="28">
        <f>+'5.1. Séreignard.'!AG65</f>
        <v>86637</v>
      </c>
      <c r="AH63" s="28">
        <f>+'5.1. Séreignard.'!AH65</f>
        <v>1400355</v>
      </c>
      <c r="AI63" s="28">
        <f>+'5.1. Séreignard.'!AI65</f>
        <v>37620</v>
      </c>
      <c r="AJ63" s="28">
        <f>+'5.1. Séreignard.'!AJ65</f>
        <v>323145</v>
      </c>
      <c r="AK63" s="28">
        <f>+'5.1. Séreignard.'!AK65</f>
        <v>588918</v>
      </c>
      <c r="AL63" s="28">
        <f>+'5.1. Séreignard.'!AL65</f>
        <v>88332</v>
      </c>
      <c r="AM63" s="28">
        <f>+'5.1. Séreignard.'!AM65</f>
        <v>49832</v>
      </c>
      <c r="AN63" s="28">
        <f>+'5.1. Séreignard.'!AN65</f>
        <v>8311010</v>
      </c>
      <c r="AO63" s="28">
        <f>+'5.1. Séreignard.'!AO65</f>
        <v>5543342</v>
      </c>
      <c r="AP63" s="28">
        <f>+'5.1. Séreignard.'!AP65</f>
        <v>3927066</v>
      </c>
      <c r="AQ63" s="28">
        <f>+'5.1. Séreignard.'!AQ65</f>
        <v>2279763</v>
      </c>
      <c r="AR63" s="28">
        <f>+'5.1. Séreignard.'!AR65</f>
        <v>38959</v>
      </c>
      <c r="AS63" s="28">
        <f>+'5.1. Séreignard.'!AS65</f>
        <v>123180</v>
      </c>
      <c r="AT63" s="28">
        <f>+'5.1. Séreignard.'!AT65</f>
        <v>2219059</v>
      </c>
      <c r="AU63" s="28"/>
      <c r="AV63" s="28">
        <f>+'5.1. Séreignard.'!AV65</f>
        <v>141896434</v>
      </c>
      <c r="AW63" s="6"/>
    </row>
    <row r="64" spans="1:49" ht="12.75" customHeight="1">
      <c r="A64" s="12"/>
      <c r="B64" s="13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6"/>
    </row>
    <row r="65" spans="1:49" ht="12.75" customHeight="1">
      <c r="A65" s="6" t="s">
        <v>221</v>
      </c>
      <c r="B65" s="13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6"/>
    </row>
    <row r="66" spans="1:49" ht="12.75" customHeight="1">
      <c r="A66" s="6" t="s">
        <v>222</v>
      </c>
      <c r="B66" s="138"/>
      <c r="C66" s="194">
        <f aca="true" t="shared" si="4" ref="C66:AT66">+(C62+C63-(C60-C61))</f>
        <v>6406303</v>
      </c>
      <c r="D66" s="194">
        <f t="shared" si="4"/>
        <v>2044967</v>
      </c>
      <c r="E66" s="194">
        <f t="shared" si="4"/>
        <v>753383</v>
      </c>
      <c r="F66" s="194">
        <f t="shared" si="4"/>
        <v>8796206</v>
      </c>
      <c r="G66" s="194">
        <f t="shared" si="4"/>
        <v>1308815</v>
      </c>
      <c r="H66" s="194">
        <f t="shared" si="4"/>
        <v>2006208</v>
      </c>
      <c r="I66" s="194">
        <f t="shared" si="4"/>
        <v>41077</v>
      </c>
      <c r="J66" s="194">
        <f t="shared" si="4"/>
        <v>102003</v>
      </c>
      <c r="K66" s="194">
        <f t="shared" si="4"/>
        <v>145183</v>
      </c>
      <c r="L66" s="194">
        <f t="shared" si="4"/>
        <v>83635</v>
      </c>
      <c r="M66" s="194">
        <f t="shared" si="4"/>
        <v>120685</v>
      </c>
      <c r="N66" s="194">
        <f t="shared" si="4"/>
        <v>8091</v>
      </c>
      <c r="O66" s="194">
        <f t="shared" si="4"/>
        <v>561182</v>
      </c>
      <c r="P66" s="194">
        <f t="shared" si="4"/>
        <v>3641475</v>
      </c>
      <c r="Q66" s="194">
        <f t="shared" si="4"/>
        <v>16658231</v>
      </c>
      <c r="R66" s="194">
        <f t="shared" si="4"/>
        <v>50574018</v>
      </c>
      <c r="S66" s="194">
        <f t="shared" si="4"/>
        <v>4985794</v>
      </c>
      <c r="T66" s="194">
        <f t="shared" si="4"/>
        <v>2483943</v>
      </c>
      <c r="U66" s="194">
        <f t="shared" si="4"/>
        <v>11840</v>
      </c>
      <c r="V66" s="194">
        <f t="shared" si="4"/>
        <v>1235463</v>
      </c>
      <c r="W66" s="194">
        <f t="shared" si="4"/>
        <v>337093</v>
      </c>
      <c r="X66" s="194">
        <f t="shared" si="4"/>
        <v>223690</v>
      </c>
      <c r="Y66" s="194">
        <f t="shared" si="4"/>
        <v>3510920</v>
      </c>
      <c r="Z66" s="194">
        <f t="shared" si="4"/>
        <v>66226662</v>
      </c>
      <c r="AA66" s="194">
        <f t="shared" si="4"/>
        <v>4875891</v>
      </c>
      <c r="AB66" s="194">
        <f t="shared" si="4"/>
        <v>8265558</v>
      </c>
      <c r="AC66" s="194">
        <f t="shared" si="4"/>
        <v>693318</v>
      </c>
      <c r="AD66" s="194">
        <f t="shared" si="4"/>
        <v>2628906</v>
      </c>
      <c r="AE66" s="194">
        <f t="shared" si="4"/>
        <v>567689</v>
      </c>
      <c r="AF66" s="194">
        <f t="shared" si="4"/>
        <v>165461</v>
      </c>
      <c r="AG66" s="194">
        <f t="shared" si="4"/>
        <v>146129</v>
      </c>
      <c r="AH66" s="194">
        <f t="shared" si="4"/>
        <v>2332261</v>
      </c>
      <c r="AI66" s="194">
        <f t="shared" si="4"/>
        <v>35848</v>
      </c>
      <c r="AJ66" s="194">
        <f t="shared" si="4"/>
        <v>523755</v>
      </c>
      <c r="AK66" s="194">
        <f t="shared" si="4"/>
        <v>933274</v>
      </c>
      <c r="AL66" s="194">
        <f t="shared" si="4"/>
        <v>140989</v>
      </c>
      <c r="AM66" s="194">
        <f t="shared" si="4"/>
        <v>83351</v>
      </c>
      <c r="AN66" s="194">
        <f t="shared" si="4"/>
        <v>12611223</v>
      </c>
      <c r="AO66" s="194">
        <f t="shared" si="4"/>
        <v>10436848</v>
      </c>
      <c r="AP66" s="194">
        <f t="shared" si="4"/>
        <v>4919129</v>
      </c>
      <c r="AQ66" s="194">
        <f t="shared" si="4"/>
        <v>2705298</v>
      </c>
      <c r="AR66" s="194">
        <f t="shared" si="4"/>
        <v>68230</v>
      </c>
      <c r="AS66" s="194">
        <f t="shared" si="4"/>
        <v>200383</v>
      </c>
      <c r="AT66" s="194">
        <f t="shared" si="4"/>
        <v>3814534</v>
      </c>
      <c r="AU66" s="194"/>
      <c r="AV66" s="194">
        <f>+(AV62+AV63-(AV60-AV61))</f>
        <v>228414942</v>
      </c>
      <c r="AW66" s="6"/>
    </row>
    <row r="67" spans="1:49" ht="12.75" customHeight="1">
      <c r="A67" s="6" t="s">
        <v>223</v>
      </c>
      <c r="B67" s="138"/>
      <c r="C67" s="195">
        <f aca="true" t="shared" si="5" ref="C67:AT67">+(2*(C60-C61))/C66</f>
        <v>0.17950103203048623</v>
      </c>
      <c r="D67" s="195">
        <f t="shared" si="5"/>
        <v>0.1314534659972508</v>
      </c>
      <c r="E67" s="195">
        <f t="shared" si="5"/>
        <v>0.11409070817897404</v>
      </c>
      <c r="F67" s="195">
        <f t="shared" si="5"/>
        <v>0.20616138366927741</v>
      </c>
      <c r="G67" s="195">
        <f t="shared" si="5"/>
        <v>0.14512058617910095</v>
      </c>
      <c r="H67" s="195">
        <f t="shared" si="5"/>
        <v>0.12655716655501323</v>
      </c>
      <c r="I67" s="195">
        <f t="shared" si="5"/>
        <v>0.11953161136402367</v>
      </c>
      <c r="J67" s="195">
        <f t="shared" si="5"/>
        <v>0.1927590364989265</v>
      </c>
      <c r="K67" s="195">
        <f t="shared" si="5"/>
        <v>0.15707073142172293</v>
      </c>
      <c r="L67" s="195">
        <f t="shared" si="5"/>
        <v>0.1730615173073474</v>
      </c>
      <c r="M67" s="195">
        <f t="shared" si="5"/>
        <v>0.13312342047478976</v>
      </c>
      <c r="N67" s="195">
        <f t="shared" si="5"/>
        <v>0.2296378692374243</v>
      </c>
      <c r="O67" s="195">
        <f t="shared" si="5"/>
        <v>0.18659899996792484</v>
      </c>
      <c r="P67" s="195">
        <f t="shared" si="5"/>
        <v>0.12706554349542423</v>
      </c>
      <c r="Q67" s="195">
        <f t="shared" si="5"/>
        <v>0.2165054620745744</v>
      </c>
      <c r="R67" s="195">
        <f t="shared" si="5"/>
        <v>0.2023713836618637</v>
      </c>
      <c r="S67" s="195">
        <f t="shared" si="5"/>
        <v>0.1432273375113372</v>
      </c>
      <c r="T67" s="195">
        <f t="shared" si="5"/>
        <v>0.11781027181380571</v>
      </c>
      <c r="U67" s="195">
        <f t="shared" si="5"/>
        <v>0.13006756756756757</v>
      </c>
      <c r="V67" s="195">
        <f t="shared" si="5"/>
        <v>0.13129166960078933</v>
      </c>
      <c r="W67" s="195">
        <f t="shared" si="5"/>
        <v>0.1724390598440193</v>
      </c>
      <c r="X67" s="195">
        <f t="shared" si="5"/>
        <v>0.17619920425588984</v>
      </c>
      <c r="Y67" s="195">
        <f t="shared" si="5"/>
        <v>0.154272384446242</v>
      </c>
      <c r="Z67" s="195">
        <f t="shared" si="5"/>
        <v>0.1769595151874029</v>
      </c>
      <c r="AA67" s="195">
        <f t="shared" si="5"/>
        <v>0.11225066351975464</v>
      </c>
      <c r="AB67" s="195">
        <f t="shared" si="5"/>
        <v>0.08366767252737202</v>
      </c>
      <c r="AC67" s="195">
        <f t="shared" si="5"/>
        <v>0.20057174341355627</v>
      </c>
      <c r="AD67" s="195">
        <f t="shared" si="5"/>
        <v>0.22003525420840456</v>
      </c>
      <c r="AE67" s="195">
        <f t="shared" si="5"/>
        <v>0.10812962731354668</v>
      </c>
      <c r="AF67" s="195">
        <f t="shared" si="5"/>
        <v>0.15359510700406742</v>
      </c>
      <c r="AG67" s="195">
        <f t="shared" si="5"/>
        <v>0.18745081400680222</v>
      </c>
      <c r="AH67" s="195">
        <f t="shared" si="5"/>
        <v>0.08188448891440538</v>
      </c>
      <c r="AI67" s="195">
        <f t="shared" si="5"/>
        <v>0.09886186119169828</v>
      </c>
      <c r="AJ67" s="195">
        <f t="shared" si="5"/>
        <v>0.19871122948706935</v>
      </c>
      <c r="AK67" s="195">
        <f t="shared" si="5"/>
        <v>0.18217800988777144</v>
      </c>
      <c r="AL67" s="195">
        <f t="shared" si="5"/>
        <v>0.11653391399329026</v>
      </c>
      <c r="AM67" s="195">
        <f t="shared" si="5"/>
        <v>0.12779690705570418</v>
      </c>
      <c r="AN67" s="195">
        <f t="shared" si="5"/>
        <v>0.19920573920546802</v>
      </c>
      <c r="AO67" s="195">
        <f t="shared" si="5"/>
        <v>0.1959886739751312</v>
      </c>
      <c r="AP67" s="195">
        <f t="shared" si="5"/>
        <v>0.1250538459145918</v>
      </c>
      <c r="AQ67" s="195">
        <f t="shared" si="5"/>
        <v>0.098154805866119</v>
      </c>
      <c r="AR67" s="195">
        <f t="shared" si="5"/>
        <v>0.10643411988861205</v>
      </c>
      <c r="AS67" s="195">
        <f t="shared" si="5"/>
        <v>0.15912527509818697</v>
      </c>
      <c r="AT67" s="195">
        <f t="shared" si="5"/>
        <v>0.15562005739102078</v>
      </c>
      <c r="AU67" s="195"/>
      <c r="AV67" s="195">
        <f>+(2*(AV60-AV61))/AV66</f>
        <v>0.1769459022518763</v>
      </c>
      <c r="AW67" s="6"/>
    </row>
    <row r="68" spans="1:49" ht="12.75" customHeight="1">
      <c r="A68" s="47" t="s">
        <v>250</v>
      </c>
      <c r="B68" s="158"/>
      <c r="C68" s="90">
        <v>0.0695</v>
      </c>
      <c r="D68" s="90">
        <v>0.0695</v>
      </c>
      <c r="E68" s="90">
        <v>0.0695</v>
      </c>
      <c r="F68" s="90">
        <v>0.0695</v>
      </c>
      <c r="G68" s="90">
        <v>0.0695</v>
      </c>
      <c r="H68" s="90">
        <v>0.0695</v>
      </c>
      <c r="I68" s="90">
        <v>0.0695</v>
      </c>
      <c r="J68" s="90">
        <v>0.0695</v>
      </c>
      <c r="K68" s="90">
        <v>0.0695</v>
      </c>
      <c r="L68" s="90">
        <v>0.0695</v>
      </c>
      <c r="M68" s="90">
        <v>0.0695</v>
      </c>
      <c r="N68" s="90">
        <v>0.0695</v>
      </c>
      <c r="O68" s="90">
        <v>0.0695</v>
      </c>
      <c r="P68" s="90">
        <v>0.0695</v>
      </c>
      <c r="Q68" s="90">
        <v>0.0695</v>
      </c>
      <c r="R68" s="90">
        <v>0.0695</v>
      </c>
      <c r="S68" s="90">
        <v>0.0695</v>
      </c>
      <c r="T68" s="90">
        <v>0.0695</v>
      </c>
      <c r="U68" s="90">
        <v>0.0695</v>
      </c>
      <c r="V68" s="90">
        <v>0.0695</v>
      </c>
      <c r="W68" s="90">
        <v>0.0695</v>
      </c>
      <c r="X68" s="90">
        <v>0.0695</v>
      </c>
      <c r="Y68" s="90">
        <v>0.0695</v>
      </c>
      <c r="Z68" s="90">
        <v>0.0695</v>
      </c>
      <c r="AA68" s="90">
        <v>0.0695</v>
      </c>
      <c r="AB68" s="90">
        <v>0.0695</v>
      </c>
      <c r="AC68" s="90">
        <v>0.0695</v>
      </c>
      <c r="AD68" s="90">
        <v>0.0695</v>
      </c>
      <c r="AE68" s="90">
        <v>0.0695</v>
      </c>
      <c r="AF68" s="90">
        <v>0.0695</v>
      </c>
      <c r="AG68" s="90">
        <v>0.0695</v>
      </c>
      <c r="AH68" s="90">
        <v>0.0695</v>
      </c>
      <c r="AI68" s="90">
        <v>0.0695</v>
      </c>
      <c r="AJ68" s="90">
        <v>0.0695</v>
      </c>
      <c r="AK68" s="90">
        <v>0.0695</v>
      </c>
      <c r="AL68" s="90">
        <v>0.0695</v>
      </c>
      <c r="AM68" s="90">
        <v>0.0695</v>
      </c>
      <c r="AN68" s="90">
        <v>0.0695</v>
      </c>
      <c r="AO68" s="90">
        <v>0.0695</v>
      </c>
      <c r="AP68" s="90">
        <v>0.0695</v>
      </c>
      <c r="AQ68" s="90">
        <v>0.0695</v>
      </c>
      <c r="AR68" s="90">
        <v>0.0695</v>
      </c>
      <c r="AS68" s="90">
        <v>0.0695</v>
      </c>
      <c r="AT68" s="90">
        <v>0.0695</v>
      </c>
      <c r="AU68" s="90"/>
      <c r="AV68" s="90">
        <v>0.0695</v>
      </c>
      <c r="AW68" s="6"/>
    </row>
    <row r="69" spans="1:49" ht="12.75" customHeight="1">
      <c r="A69" s="11"/>
      <c r="B69" s="138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6"/>
    </row>
    <row r="70" spans="1:49" s="75" customFormat="1" ht="12.75" customHeight="1">
      <c r="A70" s="47" t="s">
        <v>224</v>
      </c>
      <c r="B70" s="141"/>
      <c r="C70" s="196">
        <f aca="true" t="shared" si="6" ref="C70:AT70">+((1+C67)/(1+C68)-1)*100</f>
        <v>10.285276487188977</v>
      </c>
      <c r="D70" s="196">
        <f t="shared" si="6"/>
        <v>5.792750443875705</v>
      </c>
      <c r="E70" s="196">
        <f t="shared" si="6"/>
        <v>4.169304177557187</v>
      </c>
      <c r="F70" s="196">
        <f t="shared" si="6"/>
        <v>12.77806298917974</v>
      </c>
      <c r="G70" s="196">
        <f t="shared" si="6"/>
        <v>7.070648544095448</v>
      </c>
      <c r="H70" s="196">
        <f t="shared" si="6"/>
        <v>5.334938434316316</v>
      </c>
      <c r="I70" s="196">
        <f t="shared" si="6"/>
        <v>4.678037528192935</v>
      </c>
      <c r="J70" s="196">
        <f t="shared" si="6"/>
        <v>11.524921598777581</v>
      </c>
      <c r="K70" s="196">
        <f t="shared" si="6"/>
        <v>8.188006678047955</v>
      </c>
      <c r="L70" s="196">
        <f t="shared" si="6"/>
        <v>9.68317132373513</v>
      </c>
      <c r="M70" s="196">
        <f t="shared" si="6"/>
        <v>5.9488939200364355</v>
      </c>
      <c r="N70" s="196">
        <f t="shared" si="6"/>
        <v>14.973152803873235</v>
      </c>
      <c r="O70" s="196">
        <f t="shared" si="6"/>
        <v>10.948948103592793</v>
      </c>
      <c r="P70" s="196">
        <f t="shared" si="6"/>
        <v>5.382472510091074</v>
      </c>
      <c r="Q70" s="196">
        <f t="shared" si="6"/>
        <v>13.745251245869493</v>
      </c>
      <c r="R70" s="196">
        <f t="shared" si="6"/>
        <v>12.42369178699052</v>
      </c>
      <c r="S70" s="196">
        <f t="shared" si="6"/>
        <v>6.8936266957771775</v>
      </c>
      <c r="T70" s="196">
        <f t="shared" si="6"/>
        <v>4.517089463656432</v>
      </c>
      <c r="U70" s="196">
        <f t="shared" si="6"/>
        <v>5.663166672984321</v>
      </c>
      <c r="V70" s="196">
        <f t="shared" si="6"/>
        <v>5.777622216062572</v>
      </c>
      <c r="W70" s="196">
        <f t="shared" si="6"/>
        <v>9.624970532400102</v>
      </c>
      <c r="X70" s="196">
        <f t="shared" si="6"/>
        <v>9.976550187553968</v>
      </c>
      <c r="Y70" s="196">
        <f t="shared" si="6"/>
        <v>7.926356656965106</v>
      </c>
      <c r="Z70" s="196">
        <f t="shared" si="6"/>
        <v>10.047640503730971</v>
      </c>
      <c r="AA70" s="196">
        <f t="shared" si="6"/>
        <v>3.997256991094389</v>
      </c>
      <c r="AB70" s="196">
        <f t="shared" si="6"/>
        <v>1.3247005635691256</v>
      </c>
      <c r="AC70" s="196">
        <f t="shared" si="6"/>
        <v>12.255422479060885</v>
      </c>
      <c r="AD70" s="196">
        <f t="shared" si="6"/>
        <v>14.07529258610607</v>
      </c>
      <c r="AE70" s="196">
        <f t="shared" si="6"/>
        <v>3.6119333626504435</v>
      </c>
      <c r="AF70" s="196">
        <f t="shared" si="6"/>
        <v>7.863030107907187</v>
      </c>
      <c r="AG70" s="196">
        <f t="shared" si="6"/>
        <v>11.02859411003292</v>
      </c>
      <c r="AH70" s="196">
        <f t="shared" si="6"/>
        <v>1.157969977971507</v>
      </c>
      <c r="AI70" s="196">
        <f t="shared" si="6"/>
        <v>2.745382065609925</v>
      </c>
      <c r="AJ70" s="196">
        <f t="shared" si="6"/>
        <v>12.081461382615167</v>
      </c>
      <c r="AK70" s="196">
        <f t="shared" si="6"/>
        <v>10.535578297126813</v>
      </c>
      <c r="AL70" s="196">
        <f t="shared" si="6"/>
        <v>4.397747918961192</v>
      </c>
      <c r="AM70" s="196">
        <f t="shared" si="6"/>
        <v>5.4508561996918115</v>
      </c>
      <c r="AN70" s="196">
        <f t="shared" si="6"/>
        <v>12.127698850441138</v>
      </c>
      <c r="AO70" s="196">
        <f t="shared" si="6"/>
        <v>11.826897987389518</v>
      </c>
      <c r="AP70" s="196">
        <f t="shared" si="6"/>
        <v>5.194375494585479</v>
      </c>
      <c r="AQ70" s="196">
        <f t="shared" si="6"/>
        <v>2.679271235728753</v>
      </c>
      <c r="AR70" s="196">
        <f t="shared" si="6"/>
        <v>3.4534006440964937</v>
      </c>
      <c r="AS70" s="196">
        <f t="shared" si="6"/>
        <v>8.380109873603248</v>
      </c>
      <c r="AT70" s="196">
        <f t="shared" si="6"/>
        <v>8.05236628247037</v>
      </c>
      <c r="AU70" s="196"/>
      <c r="AV70" s="196">
        <f>+((1+AV67)/(1+AV68)-1)*100</f>
        <v>10.04636767198468</v>
      </c>
      <c r="AW70" s="12"/>
    </row>
    <row r="71" spans="1:49" s="75" customFormat="1" ht="12.75" customHeight="1">
      <c r="A71" s="79"/>
      <c r="B71" s="197"/>
      <c r="C71" s="198">
        <f aca="true" t="shared" si="7" ref="C71:AT71">+C7</f>
        <v>10.1</v>
      </c>
      <c r="D71" s="198">
        <f t="shared" si="7"/>
        <v>4.9</v>
      </c>
      <c r="E71" s="198">
        <f t="shared" si="7"/>
        <v>4.4</v>
      </c>
      <c r="F71" s="198">
        <f t="shared" si="7"/>
        <v>12.7</v>
      </c>
      <c r="G71" s="198">
        <f t="shared" si="7"/>
        <v>7.070648544095448</v>
      </c>
      <c r="H71" s="198">
        <f t="shared" si="7"/>
        <v>5.334938434316316</v>
      </c>
      <c r="I71" s="198">
        <f t="shared" si="7"/>
        <v>4.678037528192935</v>
      </c>
      <c r="J71" s="198">
        <f t="shared" si="7"/>
        <v>12.2</v>
      </c>
      <c r="K71" s="198">
        <f t="shared" si="7"/>
        <v>10</v>
      </c>
      <c r="L71" s="198">
        <f t="shared" si="7"/>
        <v>8.8</v>
      </c>
      <c r="M71" s="198">
        <f t="shared" si="7"/>
        <v>7.1</v>
      </c>
      <c r="N71" s="198">
        <f t="shared" si="7"/>
        <v>5.4</v>
      </c>
      <c r="O71" s="198">
        <f t="shared" si="7"/>
        <v>9.9</v>
      </c>
      <c r="P71" s="198">
        <f t="shared" si="7"/>
        <v>5.4</v>
      </c>
      <c r="Q71" s="198">
        <f t="shared" si="7"/>
        <v>13.9</v>
      </c>
      <c r="R71" s="198">
        <f t="shared" si="7"/>
        <v>12.6</v>
      </c>
      <c r="S71" s="198">
        <f t="shared" si="7"/>
        <v>6.3</v>
      </c>
      <c r="T71" s="198">
        <f t="shared" si="7"/>
        <v>4.8</v>
      </c>
      <c r="U71" s="198">
        <f t="shared" si="7"/>
        <v>4.2</v>
      </c>
      <c r="V71" s="198">
        <f t="shared" si="7"/>
        <v>6.1</v>
      </c>
      <c r="W71" s="198">
        <f t="shared" si="7"/>
        <v>9.8</v>
      </c>
      <c r="X71" s="198">
        <f t="shared" si="7"/>
        <v>9.4</v>
      </c>
      <c r="Y71" s="198">
        <f t="shared" si="7"/>
        <v>9.1</v>
      </c>
      <c r="Z71" s="198">
        <f t="shared" si="7"/>
        <v>10.1</v>
      </c>
      <c r="AA71" s="198">
        <f t="shared" si="7"/>
        <v>3.9</v>
      </c>
      <c r="AB71" s="198">
        <f t="shared" si="7"/>
        <v>0.9</v>
      </c>
      <c r="AC71" s="198">
        <f t="shared" si="7"/>
        <v>12.2</v>
      </c>
      <c r="AD71" s="198">
        <f t="shared" si="7"/>
        <v>14.1</v>
      </c>
      <c r="AE71" s="198">
        <f t="shared" si="7"/>
        <v>3.6</v>
      </c>
      <c r="AF71" s="198">
        <f t="shared" si="7"/>
        <v>8.3</v>
      </c>
      <c r="AG71" s="198">
        <f t="shared" si="7"/>
        <v>11.3</v>
      </c>
      <c r="AH71" s="198">
        <f t="shared" si="7"/>
        <v>1.5</v>
      </c>
      <c r="AI71" s="198">
        <f t="shared" si="7"/>
        <v>6.2</v>
      </c>
      <c r="AJ71" s="198">
        <f t="shared" si="7"/>
        <v>12.1</v>
      </c>
      <c r="AK71" s="198">
        <f t="shared" si="7"/>
        <v>7.5</v>
      </c>
      <c r="AL71" s="198">
        <f t="shared" si="7"/>
        <v>3.2</v>
      </c>
      <c r="AM71" s="198">
        <f t="shared" si="7"/>
        <v>2.2</v>
      </c>
      <c r="AN71" s="198">
        <f t="shared" si="7"/>
        <v>12.5</v>
      </c>
      <c r="AO71" s="198">
        <f t="shared" si="7"/>
        <v>11.6</v>
      </c>
      <c r="AP71" s="198">
        <f t="shared" si="7"/>
        <v>7.1</v>
      </c>
      <c r="AQ71" s="198">
        <f t="shared" si="7"/>
        <v>4.2</v>
      </c>
      <c r="AR71" s="198">
        <f t="shared" si="7"/>
        <v>3.3</v>
      </c>
      <c r="AS71" s="198">
        <f t="shared" si="7"/>
        <v>8.6</v>
      </c>
      <c r="AT71" s="198">
        <f t="shared" si="7"/>
        <v>8</v>
      </c>
      <c r="AU71" s="198"/>
      <c r="AV71" s="198"/>
      <c r="AW71" s="199"/>
    </row>
    <row r="72" spans="1:49" s="75" customFormat="1" ht="12.75" customHeight="1">
      <c r="A72" s="199"/>
      <c r="B72" s="204"/>
      <c r="C72" s="205">
        <f aca="true" t="shared" si="8" ref="C72:AT72">+C70-C71</f>
        <v>0.18527648718897716</v>
      </c>
      <c r="D72" s="205">
        <f t="shared" si="8"/>
        <v>0.8927504438757046</v>
      </c>
      <c r="E72" s="205">
        <f t="shared" si="8"/>
        <v>-0.23069582244281328</v>
      </c>
      <c r="F72" s="205">
        <f t="shared" si="8"/>
        <v>0.07806298917973997</v>
      </c>
      <c r="G72" s="205">
        <f t="shared" si="8"/>
        <v>0</v>
      </c>
      <c r="H72" s="205">
        <f t="shared" si="8"/>
        <v>0</v>
      </c>
      <c r="I72" s="205">
        <f t="shared" si="8"/>
        <v>0</v>
      </c>
      <c r="J72" s="205">
        <f t="shared" si="8"/>
        <v>-0.675078401222418</v>
      </c>
      <c r="K72" s="205">
        <f t="shared" si="8"/>
        <v>-1.8119933219520448</v>
      </c>
      <c r="L72" s="205">
        <f t="shared" si="8"/>
        <v>0.8831713237351284</v>
      </c>
      <c r="M72" s="205">
        <f t="shared" si="8"/>
        <v>-1.1511060799635642</v>
      </c>
      <c r="N72" s="205">
        <f t="shared" si="8"/>
        <v>9.573152803873235</v>
      </c>
      <c r="O72" s="205">
        <f t="shared" si="8"/>
        <v>1.0489481035927923</v>
      </c>
      <c r="P72" s="205">
        <f t="shared" si="8"/>
        <v>-0.017527489908926164</v>
      </c>
      <c r="Q72" s="205">
        <f t="shared" si="8"/>
        <v>-0.15474875413050704</v>
      </c>
      <c r="R72" s="205">
        <f t="shared" si="8"/>
        <v>-0.17630821300947908</v>
      </c>
      <c r="S72" s="205">
        <f t="shared" si="8"/>
        <v>0.5936266957771776</v>
      </c>
      <c r="T72" s="205">
        <f t="shared" si="8"/>
        <v>-0.282910536343568</v>
      </c>
      <c r="U72" s="205">
        <f t="shared" si="8"/>
        <v>1.463166672984321</v>
      </c>
      <c r="V72" s="205">
        <f t="shared" si="8"/>
        <v>-0.32237778393742733</v>
      </c>
      <c r="W72" s="205">
        <f t="shared" si="8"/>
        <v>-0.17502946759989868</v>
      </c>
      <c r="X72" s="205">
        <f t="shared" si="8"/>
        <v>0.576550187553968</v>
      </c>
      <c r="Y72" s="205">
        <f t="shared" si="8"/>
        <v>-1.173643343034894</v>
      </c>
      <c r="Z72" s="205">
        <f t="shared" si="8"/>
        <v>-0.05235949626902858</v>
      </c>
      <c r="AA72" s="205">
        <f t="shared" si="8"/>
        <v>0.09725699109438901</v>
      </c>
      <c r="AB72" s="205">
        <f t="shared" si="8"/>
        <v>0.42470056356912556</v>
      </c>
      <c r="AC72" s="205">
        <f t="shared" si="8"/>
        <v>0.055422479060885266</v>
      </c>
      <c r="AD72" s="205">
        <f t="shared" si="8"/>
        <v>-0.024707413893930052</v>
      </c>
      <c r="AE72" s="205">
        <f t="shared" si="8"/>
        <v>0.011933362650443424</v>
      </c>
      <c r="AF72" s="205">
        <f t="shared" si="8"/>
        <v>-0.43696989209281334</v>
      </c>
      <c r="AG72" s="205">
        <f t="shared" si="8"/>
        <v>-0.27140588996708104</v>
      </c>
      <c r="AH72" s="205">
        <f t="shared" si="8"/>
        <v>-0.3420300220284931</v>
      </c>
      <c r="AI72" s="205">
        <f t="shared" si="8"/>
        <v>-3.4546179343900754</v>
      </c>
      <c r="AJ72" s="205">
        <f t="shared" si="8"/>
        <v>-0.018538617384832534</v>
      </c>
      <c r="AK72" s="205">
        <f t="shared" si="8"/>
        <v>3.035578297126813</v>
      </c>
      <c r="AL72" s="205">
        <f t="shared" si="8"/>
        <v>1.1977479189611921</v>
      </c>
      <c r="AM72" s="205">
        <f t="shared" si="8"/>
        <v>3.2508561996918113</v>
      </c>
      <c r="AN72" s="205">
        <f t="shared" si="8"/>
        <v>-0.3723011495588615</v>
      </c>
      <c r="AO72" s="205">
        <f t="shared" si="8"/>
        <v>0.22689798738951872</v>
      </c>
      <c r="AP72" s="205">
        <f t="shared" si="8"/>
        <v>-1.9056245054145204</v>
      </c>
      <c r="AQ72" s="205">
        <f t="shared" si="8"/>
        <v>-1.5207287642712473</v>
      </c>
      <c r="AR72" s="205">
        <f t="shared" si="8"/>
        <v>0.1534006440964939</v>
      </c>
      <c r="AS72" s="205">
        <f t="shared" si="8"/>
        <v>-0.2198901263967521</v>
      </c>
      <c r="AT72" s="205">
        <f t="shared" si="8"/>
        <v>0.052366282470369896</v>
      </c>
      <c r="AU72" s="205"/>
      <c r="AV72" s="205"/>
      <c r="AW72" s="169"/>
    </row>
    <row r="73" spans="1:49" ht="12.75" customHeight="1" thickBot="1">
      <c r="A73" s="105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2"/>
      <c r="V73" s="202"/>
      <c r="W73" s="202"/>
      <c r="X73" s="202"/>
      <c r="Y73" s="202"/>
      <c r="Z73" s="201"/>
      <c r="AA73" s="201"/>
      <c r="AB73" s="201"/>
      <c r="AC73" s="201"/>
      <c r="AD73" s="201"/>
      <c r="AE73" s="11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3"/>
      <c r="AV73" s="202"/>
      <c r="AW73" s="11"/>
    </row>
    <row r="74" spans="1:49" ht="12.75" customHeight="1">
      <c r="A74" s="14" t="s">
        <v>48</v>
      </c>
      <c r="B74" s="14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92"/>
      <c r="AV74" s="12"/>
      <c r="AW74" s="12"/>
    </row>
    <row r="75" spans="1:49" ht="12.75" customHeight="1">
      <c r="A75" s="76" t="s">
        <v>225</v>
      </c>
      <c r="B75" s="146"/>
      <c r="C75" s="12">
        <f>+'5.1. Séreignard.'!C20</f>
        <v>32060</v>
      </c>
      <c r="D75" s="12">
        <f>+'5.1. Séreignard.'!D20</f>
        <v>33926</v>
      </c>
      <c r="E75" s="12">
        <f>+'5.1. Séreignard.'!E20</f>
        <v>45252</v>
      </c>
      <c r="F75" s="12">
        <f>+'5.1. Séreignard.'!F20</f>
        <v>80889</v>
      </c>
      <c r="G75" s="12">
        <f>+'5.1. Séreignard.'!G20</f>
        <v>5659</v>
      </c>
      <c r="H75" s="12">
        <f>+'5.1. Séreignard.'!H20</f>
        <v>42428</v>
      </c>
      <c r="I75" s="12">
        <f>+'5.1. Séreignard.'!I20</f>
        <v>750</v>
      </c>
      <c r="J75" s="12">
        <f>+'5.1. Séreignard.'!J20</f>
        <v>0</v>
      </c>
      <c r="K75" s="12">
        <f>+'5.1. Séreignard.'!K20</f>
        <v>0</v>
      </c>
      <c r="L75" s="12">
        <f>+'5.1. Séreignard.'!L20</f>
        <v>0</v>
      </c>
      <c r="M75" s="12">
        <f>+'5.1. Séreignard.'!M20</f>
        <v>408</v>
      </c>
      <c r="N75" s="12">
        <f>+'5.1. Séreignard.'!N20</f>
        <v>991</v>
      </c>
      <c r="O75" s="12">
        <f>+'5.1. Séreignard.'!O20</f>
        <v>5094</v>
      </c>
      <c r="P75" s="12">
        <f>+'5.1. Séreignard.'!P20</f>
        <v>60047</v>
      </c>
      <c r="Q75" s="12">
        <f>+'5.1. Séreignard.'!Q20</f>
        <v>24300</v>
      </c>
      <c r="R75" s="12">
        <f>+'5.1. Séreignard.'!R20+Q75+S75+T75</f>
        <v>551386</v>
      </c>
      <c r="S75" s="12">
        <f>+'5.1. Séreignard.'!S20</f>
        <v>170820</v>
      </c>
      <c r="T75" s="12">
        <f>+'5.1. Séreignard.'!T20</f>
        <v>123021</v>
      </c>
      <c r="U75" s="12">
        <f>+'5.1. Séreignard.'!U20</f>
        <v>668</v>
      </c>
      <c r="V75" s="12">
        <f>+'5.1. Séreignard.'!V20</f>
        <v>6902</v>
      </c>
      <c r="W75" s="12">
        <f>+'5.1. Séreignard.'!W20</f>
        <v>2051</v>
      </c>
      <c r="X75" s="12">
        <f>+'5.1. Séreignard.'!X20</f>
        <v>581</v>
      </c>
      <c r="Y75" s="12">
        <f>+'5.1. Séreignard.'!Y20</f>
        <v>47076</v>
      </c>
      <c r="Z75" s="12">
        <f>+'5.1. Séreignard.'!Z20</f>
        <v>263039</v>
      </c>
      <c r="AA75" s="12">
        <f>+'5.1. Séreignard.'!AA20</f>
        <v>77058</v>
      </c>
      <c r="AB75" s="12">
        <f>+'5.1. Séreignard.'!AB20</f>
        <v>316558</v>
      </c>
      <c r="AC75" s="12">
        <f>+'5.1. Séreignard.'!AC20</f>
        <v>21752</v>
      </c>
      <c r="AD75" s="12">
        <f>+'5.1. Séreignard.'!AD20</f>
        <v>9521</v>
      </c>
      <c r="AE75" s="12">
        <f>+'5.1. Séreignard.'!AE20</f>
        <v>7025</v>
      </c>
      <c r="AF75" s="12">
        <f>+'5.1. Séreignard.'!AF20</f>
        <v>777</v>
      </c>
      <c r="AG75" s="12">
        <f>+'5.1. Séreignard.'!AG20</f>
        <v>247</v>
      </c>
      <c r="AH75" s="12">
        <f>+'5.1. Séreignard.'!AH20</f>
        <v>5435</v>
      </c>
      <c r="AI75" s="12">
        <f>+'5.1. Séreignard.'!AI20</f>
        <v>0</v>
      </c>
      <c r="AJ75" s="12">
        <f>+'5.1. Séreignard.'!AJ20</f>
        <v>5965</v>
      </c>
      <c r="AK75" s="12">
        <f>+'5.1. Séreignard.'!AK20</f>
        <v>9946</v>
      </c>
      <c r="AL75" s="12">
        <f>+'5.1. Séreignard.'!AL20</f>
        <v>673</v>
      </c>
      <c r="AM75" s="12">
        <f>+'5.1. Séreignard.'!AM20</f>
        <v>3870</v>
      </c>
      <c r="AN75" s="12">
        <f>+'5.1. Séreignard.'!AN20</f>
        <v>5697</v>
      </c>
      <c r="AO75" s="12">
        <f>+'5.1. Séreignard.'!AO20</f>
        <v>39421</v>
      </c>
      <c r="AP75" s="12">
        <f>+'5.1. Séreignard.'!AP20</f>
        <v>100874</v>
      </c>
      <c r="AQ75" s="12">
        <f>+'5.1. Séreignard.'!AQ20</f>
        <v>109253</v>
      </c>
      <c r="AR75" s="12">
        <f>+'5.1. Séreignard.'!AR20</f>
        <v>3456</v>
      </c>
      <c r="AS75" s="12">
        <f>+'5.1. Séreignard.'!AS20</f>
        <v>229</v>
      </c>
      <c r="AT75" s="12">
        <f>+'5.1. Séreignard.'!AT20</f>
        <v>36442</v>
      </c>
      <c r="AU75" s="192"/>
      <c r="AV75" s="12">
        <f>SUM(C75:AT75)</f>
        <v>2251547</v>
      </c>
      <c r="AW75" s="12"/>
    </row>
    <row r="76" spans="1:49" ht="12.75" customHeight="1">
      <c r="A76" s="76"/>
      <c r="B76" s="14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92"/>
      <c r="AV76" s="12"/>
      <c r="AW76" s="12"/>
    </row>
    <row r="77" spans="1:76" ht="12.75" customHeight="1">
      <c r="A77" s="6" t="s">
        <v>226</v>
      </c>
      <c r="B77" s="146"/>
      <c r="C77" s="12">
        <f aca="true" t="shared" si="9" ref="C77:AT77">+C75*C25%</f>
        <v>29591.379999999997</v>
      </c>
      <c r="D77" s="12">
        <f t="shared" si="9"/>
        <v>32840.368</v>
      </c>
      <c r="E77" s="12">
        <f t="shared" si="9"/>
        <v>43668.18</v>
      </c>
      <c r="F77" s="12">
        <f t="shared" si="9"/>
        <v>0</v>
      </c>
      <c r="G77" s="12">
        <f t="shared" si="9"/>
        <v>5659</v>
      </c>
      <c r="H77" s="12">
        <f t="shared" si="9"/>
        <v>42428</v>
      </c>
      <c r="I77" s="12">
        <f t="shared" si="9"/>
        <v>750</v>
      </c>
      <c r="J77" s="12">
        <f t="shared" si="9"/>
        <v>0</v>
      </c>
      <c r="K77" s="12">
        <f t="shared" si="9"/>
        <v>0</v>
      </c>
      <c r="L77" s="12">
        <f t="shared" si="9"/>
        <v>0</v>
      </c>
      <c r="M77" s="12">
        <f t="shared" si="9"/>
        <v>408</v>
      </c>
      <c r="N77" s="12">
        <f t="shared" si="9"/>
        <v>991</v>
      </c>
      <c r="O77" s="12">
        <f t="shared" si="9"/>
        <v>5094</v>
      </c>
      <c r="P77" s="12">
        <f t="shared" si="9"/>
        <v>60047</v>
      </c>
      <c r="Q77" s="12">
        <f t="shared" si="9"/>
        <v>0</v>
      </c>
      <c r="R77" s="12">
        <f t="shared" si="9"/>
        <v>527696</v>
      </c>
      <c r="S77" s="12">
        <f t="shared" si="9"/>
        <v>0</v>
      </c>
      <c r="T77" s="12">
        <f t="shared" si="9"/>
        <v>0</v>
      </c>
      <c r="U77" s="12">
        <f t="shared" si="9"/>
        <v>0</v>
      </c>
      <c r="V77" s="12">
        <f t="shared" si="9"/>
        <v>0</v>
      </c>
      <c r="W77" s="12">
        <f t="shared" si="9"/>
        <v>0</v>
      </c>
      <c r="X77" s="12">
        <f t="shared" si="9"/>
        <v>0</v>
      </c>
      <c r="Y77" s="12">
        <f t="shared" si="9"/>
        <v>0</v>
      </c>
      <c r="Z77" s="12">
        <f t="shared" si="9"/>
        <v>194783</v>
      </c>
      <c r="AA77" s="12">
        <f t="shared" si="9"/>
        <v>67287</v>
      </c>
      <c r="AB77" s="12">
        <f t="shared" si="9"/>
        <v>295152</v>
      </c>
      <c r="AC77" s="12">
        <f t="shared" si="9"/>
        <v>16923.056</v>
      </c>
      <c r="AD77" s="12">
        <f t="shared" si="9"/>
        <v>5769.726</v>
      </c>
      <c r="AE77" s="12">
        <f t="shared" si="9"/>
        <v>7025</v>
      </c>
      <c r="AF77" s="12">
        <f t="shared" si="9"/>
        <v>734.265</v>
      </c>
      <c r="AG77" s="12">
        <f t="shared" si="9"/>
        <v>243.72482762250647</v>
      </c>
      <c r="AH77" s="12">
        <f t="shared" si="9"/>
        <v>5435</v>
      </c>
      <c r="AI77" s="12">
        <f t="shared" si="9"/>
        <v>0</v>
      </c>
      <c r="AJ77" s="12">
        <f t="shared" si="9"/>
        <v>5965</v>
      </c>
      <c r="AK77" s="12">
        <f t="shared" si="9"/>
        <v>9946</v>
      </c>
      <c r="AL77" s="12">
        <f t="shared" si="9"/>
        <v>673</v>
      </c>
      <c r="AM77" s="12">
        <f t="shared" si="9"/>
        <v>3870</v>
      </c>
      <c r="AN77" s="12">
        <f t="shared" si="9"/>
        <v>4688.630999999999</v>
      </c>
      <c r="AO77" s="12">
        <f t="shared" si="9"/>
        <v>30433.012000000002</v>
      </c>
      <c r="AP77" s="12">
        <f t="shared" si="9"/>
        <v>94115.442</v>
      </c>
      <c r="AQ77" s="12">
        <f t="shared" si="9"/>
        <v>104664.374</v>
      </c>
      <c r="AR77" s="12">
        <f t="shared" si="9"/>
        <v>0</v>
      </c>
      <c r="AS77" s="12">
        <f t="shared" si="9"/>
        <v>0</v>
      </c>
      <c r="AT77" s="12">
        <f t="shared" si="9"/>
        <v>35931.812</v>
      </c>
      <c r="AU77" s="192"/>
      <c r="AV77" s="12">
        <f>SUM(C77:AT77)</f>
        <v>1632812.9708276228</v>
      </c>
      <c r="AW77" s="15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ht="12.75" customHeight="1">
      <c r="A78" s="6" t="s">
        <v>227</v>
      </c>
      <c r="B78" s="146"/>
      <c r="C78" s="12">
        <f aca="true" t="shared" si="10" ref="C78:AT78">+C75*C26%</f>
        <v>256.48</v>
      </c>
      <c r="D78" s="12">
        <f t="shared" si="10"/>
        <v>0</v>
      </c>
      <c r="E78" s="12">
        <f t="shared" si="10"/>
        <v>316.76399999999995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  <c r="K78" s="12">
        <f t="shared" si="10"/>
        <v>0</v>
      </c>
      <c r="L78" s="12">
        <f t="shared" si="10"/>
        <v>0</v>
      </c>
      <c r="M78" s="12">
        <f t="shared" si="10"/>
        <v>0</v>
      </c>
      <c r="N78" s="12">
        <f t="shared" si="10"/>
        <v>0</v>
      </c>
      <c r="O78" s="12">
        <f t="shared" si="10"/>
        <v>0</v>
      </c>
      <c r="P78" s="12">
        <f t="shared" si="10"/>
        <v>0</v>
      </c>
      <c r="Q78" s="12">
        <f t="shared" si="10"/>
        <v>0</v>
      </c>
      <c r="R78" s="12">
        <f t="shared" si="10"/>
        <v>8539</v>
      </c>
      <c r="S78" s="12">
        <f t="shared" si="10"/>
        <v>0</v>
      </c>
      <c r="T78" s="12">
        <f t="shared" si="10"/>
        <v>0</v>
      </c>
      <c r="U78" s="12">
        <f t="shared" si="10"/>
        <v>0</v>
      </c>
      <c r="V78" s="12">
        <f t="shared" si="10"/>
        <v>0</v>
      </c>
      <c r="W78" s="12">
        <f t="shared" si="10"/>
        <v>0</v>
      </c>
      <c r="X78" s="12">
        <f t="shared" si="10"/>
        <v>0</v>
      </c>
      <c r="Y78" s="12">
        <f t="shared" si="10"/>
        <v>0</v>
      </c>
      <c r="Z78" s="12">
        <f t="shared" si="10"/>
        <v>7314</v>
      </c>
      <c r="AA78" s="12">
        <f t="shared" si="10"/>
        <v>1334</v>
      </c>
      <c r="AB78" s="12">
        <f t="shared" si="10"/>
        <v>411.0000000000001</v>
      </c>
      <c r="AC78" s="12">
        <f t="shared" si="10"/>
        <v>4132.88</v>
      </c>
      <c r="AD78" s="12">
        <f t="shared" si="10"/>
        <v>3389.4760000000006</v>
      </c>
      <c r="AE78" s="12">
        <f t="shared" si="10"/>
        <v>0</v>
      </c>
      <c r="AF78" s="12">
        <f t="shared" si="10"/>
        <v>42.735</v>
      </c>
      <c r="AG78" s="12">
        <f t="shared" si="10"/>
        <v>3.2751723774935524</v>
      </c>
      <c r="AH78" s="12">
        <f t="shared" si="10"/>
        <v>0</v>
      </c>
      <c r="AI78" s="12">
        <f t="shared" si="10"/>
        <v>0</v>
      </c>
      <c r="AJ78" s="12">
        <f t="shared" si="10"/>
        <v>0</v>
      </c>
      <c r="AK78" s="12">
        <f t="shared" si="10"/>
        <v>0</v>
      </c>
      <c r="AL78" s="12">
        <f t="shared" si="10"/>
        <v>0</v>
      </c>
      <c r="AM78" s="12">
        <f t="shared" si="10"/>
        <v>0</v>
      </c>
      <c r="AN78" s="12">
        <f t="shared" si="10"/>
        <v>991.2779999999999</v>
      </c>
      <c r="AO78" s="12">
        <f t="shared" si="10"/>
        <v>4848.783</v>
      </c>
      <c r="AP78" s="12">
        <f t="shared" si="10"/>
        <v>806.992</v>
      </c>
      <c r="AQ78" s="12">
        <f t="shared" si="10"/>
        <v>0</v>
      </c>
      <c r="AR78" s="12">
        <f t="shared" si="10"/>
        <v>0</v>
      </c>
      <c r="AS78" s="12">
        <f t="shared" si="10"/>
        <v>0</v>
      </c>
      <c r="AT78" s="12">
        <f t="shared" si="10"/>
        <v>109.32600000000001</v>
      </c>
      <c r="AU78" s="192"/>
      <c r="AV78" s="12">
        <f>SUM(C78:AT78)</f>
        <v>32495.98917237749</v>
      </c>
      <c r="AW78" s="12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ht="12.75" customHeight="1">
      <c r="A79" s="6" t="s">
        <v>228</v>
      </c>
      <c r="B79" s="146"/>
      <c r="C79" s="12">
        <f aca="true" t="shared" si="11" ref="C79:AT79">+C75*C27%</f>
        <v>416.78000000000003</v>
      </c>
      <c r="D79" s="12">
        <f t="shared" si="11"/>
        <v>1085.632</v>
      </c>
      <c r="E79" s="12">
        <f t="shared" si="11"/>
        <v>859.788</v>
      </c>
      <c r="F79" s="12">
        <f t="shared" si="11"/>
        <v>0</v>
      </c>
      <c r="G79" s="12">
        <f t="shared" si="11"/>
        <v>0</v>
      </c>
      <c r="H79" s="12">
        <f t="shared" si="11"/>
        <v>0</v>
      </c>
      <c r="I79" s="12">
        <f t="shared" si="11"/>
        <v>0</v>
      </c>
      <c r="J79" s="12">
        <f t="shared" si="11"/>
        <v>0</v>
      </c>
      <c r="K79" s="12">
        <f t="shared" si="11"/>
        <v>0</v>
      </c>
      <c r="L79" s="12">
        <f t="shared" si="11"/>
        <v>0</v>
      </c>
      <c r="M79" s="12">
        <f t="shared" si="11"/>
        <v>0</v>
      </c>
      <c r="N79" s="12">
        <f t="shared" si="11"/>
        <v>0</v>
      </c>
      <c r="O79" s="12">
        <f t="shared" si="11"/>
        <v>0</v>
      </c>
      <c r="P79" s="12">
        <f t="shared" si="11"/>
        <v>0</v>
      </c>
      <c r="Q79" s="12">
        <f t="shared" si="11"/>
        <v>0</v>
      </c>
      <c r="R79" s="12">
        <f t="shared" si="11"/>
        <v>8666</v>
      </c>
      <c r="S79" s="12">
        <f t="shared" si="11"/>
        <v>0</v>
      </c>
      <c r="T79" s="12">
        <f t="shared" si="11"/>
        <v>0</v>
      </c>
      <c r="U79" s="12">
        <f t="shared" si="11"/>
        <v>0</v>
      </c>
      <c r="V79" s="12">
        <f t="shared" si="11"/>
        <v>0</v>
      </c>
      <c r="W79" s="12">
        <f t="shared" si="11"/>
        <v>0</v>
      </c>
      <c r="X79" s="12">
        <f t="shared" si="11"/>
        <v>0</v>
      </c>
      <c r="Y79" s="12">
        <f t="shared" si="11"/>
        <v>0</v>
      </c>
      <c r="Z79" s="12">
        <f t="shared" si="11"/>
        <v>0</v>
      </c>
      <c r="AA79" s="12">
        <f t="shared" si="11"/>
        <v>0</v>
      </c>
      <c r="AB79" s="12">
        <f t="shared" si="11"/>
        <v>0</v>
      </c>
      <c r="AC79" s="12">
        <f t="shared" si="11"/>
        <v>696.064</v>
      </c>
      <c r="AD79" s="12">
        <f t="shared" si="11"/>
        <v>361.798</v>
      </c>
      <c r="AE79" s="12">
        <f t="shared" si="11"/>
        <v>0</v>
      </c>
      <c r="AF79" s="12">
        <f t="shared" si="11"/>
        <v>0</v>
      </c>
      <c r="AG79" s="12">
        <f t="shared" si="11"/>
        <v>0</v>
      </c>
      <c r="AH79" s="12">
        <f t="shared" si="11"/>
        <v>0</v>
      </c>
      <c r="AI79" s="12">
        <f t="shared" si="11"/>
        <v>0</v>
      </c>
      <c r="AJ79" s="12">
        <f t="shared" si="11"/>
        <v>0</v>
      </c>
      <c r="AK79" s="12">
        <f t="shared" si="11"/>
        <v>0</v>
      </c>
      <c r="AL79" s="12">
        <f t="shared" si="11"/>
        <v>0</v>
      </c>
      <c r="AM79" s="12">
        <f t="shared" si="11"/>
        <v>0</v>
      </c>
      <c r="AN79" s="12">
        <f t="shared" si="11"/>
        <v>0</v>
      </c>
      <c r="AO79" s="12">
        <f t="shared" si="11"/>
        <v>2798.8909999999996</v>
      </c>
      <c r="AP79" s="12">
        <f t="shared" si="11"/>
        <v>4942.826</v>
      </c>
      <c r="AQ79" s="12">
        <f t="shared" si="11"/>
        <v>3714.6020000000003</v>
      </c>
      <c r="AR79" s="12">
        <f t="shared" si="11"/>
        <v>0</v>
      </c>
      <c r="AS79" s="12">
        <f t="shared" si="11"/>
        <v>0</v>
      </c>
      <c r="AT79" s="12">
        <f t="shared" si="11"/>
        <v>0</v>
      </c>
      <c r="AU79" s="192"/>
      <c r="AV79" s="12">
        <f>SUM(C79:AT79)</f>
        <v>23542.381</v>
      </c>
      <c r="AW79" s="12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</row>
    <row r="80" spans="1:76" ht="12.75" customHeight="1">
      <c r="A80" s="6" t="s">
        <v>229</v>
      </c>
      <c r="B80" s="146"/>
      <c r="C80" s="12">
        <f aca="true" t="shared" si="12" ref="C80:AT80">+C75*C28%</f>
        <v>1795.36</v>
      </c>
      <c r="D80" s="12">
        <f t="shared" si="12"/>
        <v>0</v>
      </c>
      <c r="E80" s="12">
        <f t="shared" si="12"/>
        <v>407.26800000000003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2"/>
        <v>0</v>
      </c>
      <c r="O80" s="12">
        <f t="shared" si="12"/>
        <v>0</v>
      </c>
      <c r="P80" s="12">
        <f t="shared" si="12"/>
        <v>0</v>
      </c>
      <c r="Q80" s="12">
        <f t="shared" si="12"/>
        <v>0</v>
      </c>
      <c r="R80" s="12">
        <f t="shared" si="12"/>
        <v>6485.000000000001</v>
      </c>
      <c r="S80" s="12">
        <f t="shared" si="12"/>
        <v>0</v>
      </c>
      <c r="T80" s="12">
        <f t="shared" si="12"/>
        <v>0</v>
      </c>
      <c r="U80" s="12">
        <f t="shared" si="12"/>
        <v>0</v>
      </c>
      <c r="V80" s="12">
        <f t="shared" si="12"/>
        <v>0</v>
      </c>
      <c r="W80" s="12">
        <f t="shared" si="12"/>
        <v>0</v>
      </c>
      <c r="X80" s="12">
        <f t="shared" si="12"/>
        <v>0</v>
      </c>
      <c r="Y80" s="12">
        <f t="shared" si="12"/>
        <v>0</v>
      </c>
      <c r="Z80" s="12">
        <f t="shared" si="12"/>
        <v>0</v>
      </c>
      <c r="AA80" s="12">
        <f t="shared" si="12"/>
        <v>0</v>
      </c>
      <c r="AB80" s="12">
        <f t="shared" si="12"/>
        <v>0</v>
      </c>
      <c r="AC80" s="12">
        <f t="shared" si="12"/>
        <v>0</v>
      </c>
      <c r="AD80" s="12">
        <f t="shared" si="12"/>
        <v>0</v>
      </c>
      <c r="AE80" s="12">
        <f t="shared" si="12"/>
        <v>0</v>
      </c>
      <c r="AF80" s="12">
        <f t="shared" si="12"/>
        <v>0</v>
      </c>
      <c r="AG80" s="12">
        <f t="shared" si="12"/>
        <v>0</v>
      </c>
      <c r="AH80" s="12">
        <f t="shared" si="12"/>
        <v>0</v>
      </c>
      <c r="AI80" s="12">
        <f t="shared" si="12"/>
        <v>0</v>
      </c>
      <c r="AJ80" s="12">
        <f t="shared" si="12"/>
        <v>0</v>
      </c>
      <c r="AK80" s="12">
        <f t="shared" si="12"/>
        <v>0</v>
      </c>
      <c r="AL80" s="12">
        <f t="shared" si="12"/>
        <v>0</v>
      </c>
      <c r="AM80" s="12">
        <f t="shared" si="12"/>
        <v>0</v>
      </c>
      <c r="AN80" s="12">
        <f t="shared" si="12"/>
        <v>17.091</v>
      </c>
      <c r="AO80" s="12">
        <f t="shared" si="12"/>
        <v>946.104</v>
      </c>
      <c r="AP80" s="12">
        <f t="shared" si="12"/>
        <v>1008.74</v>
      </c>
      <c r="AQ80" s="12">
        <f t="shared" si="12"/>
        <v>218.506</v>
      </c>
      <c r="AR80" s="12">
        <f t="shared" si="12"/>
        <v>0</v>
      </c>
      <c r="AS80" s="12">
        <f t="shared" si="12"/>
        <v>0</v>
      </c>
      <c r="AT80" s="12">
        <f t="shared" si="12"/>
        <v>218.65200000000002</v>
      </c>
      <c r="AU80" s="192"/>
      <c r="AV80" s="12">
        <f>SUM(C80:AT80)</f>
        <v>11096.721</v>
      </c>
      <c r="AW80" s="12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76" ht="12.75" customHeight="1">
      <c r="A81" s="6" t="s">
        <v>230</v>
      </c>
      <c r="B81" s="146"/>
      <c r="C81" s="12">
        <f aca="true" t="shared" si="13" ref="C81:AR81">+C75*C29%</f>
        <v>0</v>
      </c>
      <c r="D81" s="12">
        <f t="shared" si="13"/>
        <v>0</v>
      </c>
      <c r="E81" s="12">
        <f t="shared" si="13"/>
        <v>0</v>
      </c>
      <c r="F81" s="12">
        <f t="shared" si="13"/>
        <v>80889</v>
      </c>
      <c r="G81" s="12">
        <f t="shared" si="13"/>
        <v>0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0</v>
      </c>
      <c r="N81" s="12">
        <f t="shared" si="13"/>
        <v>0</v>
      </c>
      <c r="O81" s="12">
        <f t="shared" si="13"/>
        <v>0</v>
      </c>
      <c r="P81" s="12">
        <f t="shared" si="13"/>
        <v>0</v>
      </c>
      <c r="Q81" s="12">
        <f t="shared" si="13"/>
        <v>0</v>
      </c>
      <c r="R81" s="12">
        <f t="shared" si="13"/>
        <v>0</v>
      </c>
      <c r="S81" s="12">
        <f t="shared" si="13"/>
        <v>0</v>
      </c>
      <c r="T81" s="12">
        <f t="shared" si="13"/>
        <v>0</v>
      </c>
      <c r="U81" s="12">
        <f t="shared" si="13"/>
        <v>668</v>
      </c>
      <c r="V81" s="12">
        <f t="shared" si="13"/>
        <v>6902</v>
      </c>
      <c r="W81" s="12">
        <f t="shared" si="13"/>
        <v>2051</v>
      </c>
      <c r="X81" s="12">
        <f t="shared" si="13"/>
        <v>581</v>
      </c>
      <c r="Y81" s="12">
        <f t="shared" si="13"/>
        <v>47076</v>
      </c>
      <c r="Z81" s="12">
        <f t="shared" si="13"/>
        <v>60942</v>
      </c>
      <c r="AA81" s="12">
        <f t="shared" si="13"/>
        <v>8438</v>
      </c>
      <c r="AB81" s="12">
        <f t="shared" si="13"/>
        <v>20995</v>
      </c>
      <c r="AC81" s="12">
        <f t="shared" si="13"/>
        <v>0</v>
      </c>
      <c r="AD81" s="12">
        <f t="shared" si="13"/>
        <v>0</v>
      </c>
      <c r="AE81" s="12">
        <f t="shared" si="13"/>
        <v>0</v>
      </c>
      <c r="AF81" s="12">
        <f t="shared" si="13"/>
        <v>0</v>
      </c>
      <c r="AG81" s="12">
        <f t="shared" si="13"/>
        <v>0</v>
      </c>
      <c r="AH81" s="12">
        <f t="shared" si="13"/>
        <v>0</v>
      </c>
      <c r="AI81" s="12">
        <f t="shared" si="13"/>
        <v>0</v>
      </c>
      <c r="AJ81" s="12">
        <f t="shared" si="13"/>
        <v>0</v>
      </c>
      <c r="AK81" s="12">
        <f t="shared" si="13"/>
        <v>0</v>
      </c>
      <c r="AL81" s="12">
        <f t="shared" si="13"/>
        <v>0</v>
      </c>
      <c r="AM81" s="12">
        <f t="shared" si="13"/>
        <v>0</v>
      </c>
      <c r="AN81" s="12">
        <f t="shared" si="13"/>
        <v>0</v>
      </c>
      <c r="AO81" s="12">
        <f t="shared" si="13"/>
        <v>394.21000000000004</v>
      </c>
      <c r="AP81" s="12">
        <f t="shared" si="13"/>
        <v>0</v>
      </c>
      <c r="AQ81" s="12">
        <f t="shared" si="13"/>
        <v>655.518</v>
      </c>
      <c r="AR81" s="12">
        <f t="shared" si="13"/>
        <v>3456</v>
      </c>
      <c r="AS81" s="227">
        <f>+AS75</f>
        <v>229</v>
      </c>
      <c r="AT81" s="12">
        <f>+AT75*AT29%</f>
        <v>182.21</v>
      </c>
      <c r="AU81" s="193"/>
      <c r="AV81" s="12">
        <f>SUM(C81:AT81)</f>
        <v>233458.938</v>
      </c>
      <c r="AW81" s="12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</row>
    <row r="82" spans="1:76" ht="12.75" customHeight="1">
      <c r="A82" s="76" t="s">
        <v>231</v>
      </c>
      <c r="B82" s="146"/>
      <c r="C82" s="15">
        <f aca="true" t="shared" si="14" ref="C82:AT82">SUM(C77:C81)</f>
        <v>32059.999999999996</v>
      </c>
      <c r="D82" s="15">
        <f t="shared" si="14"/>
        <v>33926</v>
      </c>
      <c r="E82" s="15">
        <f t="shared" si="14"/>
        <v>45252</v>
      </c>
      <c r="F82" s="15">
        <f t="shared" si="14"/>
        <v>80889</v>
      </c>
      <c r="G82" s="15">
        <f t="shared" si="14"/>
        <v>5659</v>
      </c>
      <c r="H82" s="15">
        <f t="shared" si="14"/>
        <v>42428</v>
      </c>
      <c r="I82" s="15">
        <f t="shared" si="14"/>
        <v>750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408</v>
      </c>
      <c r="N82" s="15">
        <f t="shared" si="14"/>
        <v>991</v>
      </c>
      <c r="O82" s="15">
        <f t="shared" si="14"/>
        <v>5094</v>
      </c>
      <c r="P82" s="15">
        <f t="shared" si="14"/>
        <v>60047</v>
      </c>
      <c r="Q82" s="15">
        <f t="shared" si="14"/>
        <v>0</v>
      </c>
      <c r="R82" s="15">
        <f t="shared" si="14"/>
        <v>551386</v>
      </c>
      <c r="S82" s="15">
        <f t="shared" si="14"/>
        <v>0</v>
      </c>
      <c r="T82" s="15">
        <f t="shared" si="14"/>
        <v>0</v>
      </c>
      <c r="U82" s="15">
        <f t="shared" si="14"/>
        <v>668</v>
      </c>
      <c r="V82" s="15">
        <f t="shared" si="14"/>
        <v>6902</v>
      </c>
      <c r="W82" s="15">
        <f t="shared" si="14"/>
        <v>2051</v>
      </c>
      <c r="X82" s="15">
        <f t="shared" si="14"/>
        <v>581</v>
      </c>
      <c r="Y82" s="15">
        <f t="shared" si="14"/>
        <v>47076</v>
      </c>
      <c r="Z82" s="15">
        <f t="shared" si="14"/>
        <v>263039</v>
      </c>
      <c r="AA82" s="15">
        <f t="shared" si="14"/>
        <v>77059</v>
      </c>
      <c r="AB82" s="15">
        <f t="shared" si="14"/>
        <v>316558</v>
      </c>
      <c r="AC82" s="15">
        <f t="shared" si="14"/>
        <v>21752</v>
      </c>
      <c r="AD82" s="15">
        <f t="shared" si="14"/>
        <v>9521.000000000002</v>
      </c>
      <c r="AE82" s="15">
        <f t="shared" si="14"/>
        <v>7025</v>
      </c>
      <c r="AF82" s="15">
        <f t="shared" si="14"/>
        <v>777</v>
      </c>
      <c r="AG82" s="15">
        <f t="shared" si="14"/>
        <v>247.00000000000003</v>
      </c>
      <c r="AH82" s="15">
        <f t="shared" si="14"/>
        <v>5435</v>
      </c>
      <c r="AI82" s="15">
        <f t="shared" si="14"/>
        <v>0</v>
      </c>
      <c r="AJ82" s="15">
        <f t="shared" si="14"/>
        <v>5965</v>
      </c>
      <c r="AK82" s="15">
        <f t="shared" si="14"/>
        <v>9946</v>
      </c>
      <c r="AL82" s="15">
        <f t="shared" si="14"/>
        <v>673</v>
      </c>
      <c r="AM82" s="15">
        <f t="shared" si="14"/>
        <v>3870</v>
      </c>
      <c r="AN82" s="15">
        <f t="shared" si="14"/>
        <v>5697</v>
      </c>
      <c r="AO82" s="15">
        <f t="shared" si="14"/>
        <v>39421</v>
      </c>
      <c r="AP82" s="15">
        <f t="shared" si="14"/>
        <v>100874</v>
      </c>
      <c r="AQ82" s="15">
        <f t="shared" si="14"/>
        <v>109252.99999999999</v>
      </c>
      <c r="AR82" s="15">
        <f t="shared" si="14"/>
        <v>3456</v>
      </c>
      <c r="AS82" s="15">
        <f t="shared" si="14"/>
        <v>229</v>
      </c>
      <c r="AT82" s="15">
        <f t="shared" si="14"/>
        <v>36442</v>
      </c>
      <c r="AU82" s="193"/>
      <c r="AV82" s="12">
        <f>SUM(AV77:AV81)</f>
        <v>1933407.0000000002</v>
      </c>
      <c r="AW82" s="12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</row>
    <row r="83" spans="1:76" s="235" customFormat="1" ht="12.75" customHeight="1">
      <c r="A83" s="229"/>
      <c r="B83" s="230"/>
      <c r="C83" s="232">
        <f aca="true" t="shared" si="15" ref="C83:AT83">+C82-C75</f>
        <v>0</v>
      </c>
      <c r="D83" s="232">
        <f t="shared" si="15"/>
        <v>0</v>
      </c>
      <c r="E83" s="232">
        <f t="shared" si="15"/>
        <v>0</v>
      </c>
      <c r="F83" s="232">
        <f t="shared" si="15"/>
        <v>0</v>
      </c>
      <c r="G83" s="232">
        <f t="shared" si="15"/>
        <v>0</v>
      </c>
      <c r="H83" s="232">
        <f t="shared" si="15"/>
        <v>0</v>
      </c>
      <c r="I83" s="232">
        <f t="shared" si="15"/>
        <v>0</v>
      </c>
      <c r="J83" s="232">
        <f t="shared" si="15"/>
        <v>0</v>
      </c>
      <c r="K83" s="232">
        <f t="shared" si="15"/>
        <v>0</v>
      </c>
      <c r="L83" s="232">
        <f t="shared" si="15"/>
        <v>0</v>
      </c>
      <c r="M83" s="232">
        <f t="shared" si="15"/>
        <v>0</v>
      </c>
      <c r="N83" s="232">
        <f t="shared" si="15"/>
        <v>0</v>
      </c>
      <c r="O83" s="232">
        <f t="shared" si="15"/>
        <v>0</v>
      </c>
      <c r="P83" s="232">
        <f t="shared" si="15"/>
        <v>0</v>
      </c>
      <c r="Q83" s="232">
        <f t="shared" si="15"/>
        <v>-24300</v>
      </c>
      <c r="R83" s="232">
        <f t="shared" si="15"/>
        <v>0</v>
      </c>
      <c r="S83" s="232">
        <f t="shared" si="15"/>
        <v>-170820</v>
      </c>
      <c r="T83" s="232">
        <f t="shared" si="15"/>
        <v>-123021</v>
      </c>
      <c r="U83" s="232">
        <f t="shared" si="15"/>
        <v>0</v>
      </c>
      <c r="V83" s="232">
        <f t="shared" si="15"/>
        <v>0</v>
      </c>
      <c r="W83" s="232">
        <f t="shared" si="15"/>
        <v>0</v>
      </c>
      <c r="X83" s="232">
        <f t="shared" si="15"/>
        <v>0</v>
      </c>
      <c r="Y83" s="232">
        <f t="shared" si="15"/>
        <v>0</v>
      </c>
      <c r="Z83" s="232">
        <f t="shared" si="15"/>
        <v>0</v>
      </c>
      <c r="AA83" s="232">
        <f t="shared" si="15"/>
        <v>1</v>
      </c>
      <c r="AB83" s="232">
        <f t="shared" si="15"/>
        <v>0</v>
      </c>
      <c r="AC83" s="232">
        <f t="shared" si="15"/>
        <v>0</v>
      </c>
      <c r="AD83" s="232">
        <f t="shared" si="15"/>
        <v>0</v>
      </c>
      <c r="AE83" s="232">
        <f t="shared" si="15"/>
        <v>0</v>
      </c>
      <c r="AF83" s="232">
        <f t="shared" si="15"/>
        <v>0</v>
      </c>
      <c r="AG83" s="232">
        <f t="shared" si="15"/>
        <v>0</v>
      </c>
      <c r="AH83" s="232">
        <f t="shared" si="15"/>
        <v>0</v>
      </c>
      <c r="AI83" s="232">
        <f t="shared" si="15"/>
        <v>0</v>
      </c>
      <c r="AJ83" s="232">
        <f t="shared" si="15"/>
        <v>0</v>
      </c>
      <c r="AK83" s="232">
        <f t="shared" si="15"/>
        <v>0</v>
      </c>
      <c r="AL83" s="232">
        <f t="shared" si="15"/>
        <v>0</v>
      </c>
      <c r="AM83" s="232">
        <f t="shared" si="15"/>
        <v>0</v>
      </c>
      <c r="AN83" s="232">
        <f t="shared" si="15"/>
        <v>0</v>
      </c>
      <c r="AO83" s="232">
        <f t="shared" si="15"/>
        <v>0</v>
      </c>
      <c r="AP83" s="232">
        <f t="shared" si="15"/>
        <v>0</v>
      </c>
      <c r="AQ83" s="232">
        <f t="shared" si="15"/>
        <v>0</v>
      </c>
      <c r="AR83" s="232">
        <f t="shared" si="15"/>
        <v>0</v>
      </c>
      <c r="AS83" s="232">
        <f t="shared" si="15"/>
        <v>0</v>
      </c>
      <c r="AT83" s="232">
        <f t="shared" si="15"/>
        <v>0</v>
      </c>
      <c r="AU83" s="233"/>
      <c r="AV83" s="227">
        <f>+'5.1. Séreignard.'!AV20-'5.2 Kennitölur (séreign)'!AV82</f>
        <v>-1.0000000002328306</v>
      </c>
      <c r="AW83" s="227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</row>
    <row r="84" spans="1:49" ht="12.75" customHeight="1" thickBot="1">
      <c r="A84" s="111"/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36"/>
      <c r="R84" s="201"/>
      <c r="S84" s="201"/>
      <c r="T84" s="201"/>
      <c r="U84" s="202"/>
      <c r="V84" s="202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3"/>
      <c r="AV84" s="202"/>
      <c r="AW84" s="11"/>
    </row>
    <row r="85" spans="1:49" ht="12.75" customHeight="1">
      <c r="A85" s="14" t="s">
        <v>232</v>
      </c>
      <c r="B85" s="14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2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92"/>
      <c r="AV85" s="12"/>
      <c r="AW85" s="11"/>
    </row>
    <row r="86" spans="1:162" ht="12.75" customHeight="1">
      <c r="A86" s="12" t="s">
        <v>100</v>
      </c>
      <c r="B86" s="146"/>
      <c r="C86" s="12">
        <f>+'5.1. Séreignard.'!C86</f>
        <v>3938782</v>
      </c>
      <c r="D86" s="12">
        <f>+'5.1. Séreignard.'!D86</f>
        <v>1219157</v>
      </c>
      <c r="E86" s="12">
        <f>+'5.1. Séreignard.'!E86</f>
        <v>442462</v>
      </c>
      <c r="F86" s="12">
        <f>+'5.1. Séreignard.'!F86</f>
        <v>5542041</v>
      </c>
      <c r="G86" s="12">
        <f>+'5.1. Séreignard.'!G86</f>
        <v>679830</v>
      </c>
      <c r="H86" s="12">
        <f>+'5.1. Séreignard.'!H86</f>
        <v>1081158</v>
      </c>
      <c r="I86" s="12">
        <f>+'5.1. Séreignard.'!I86</f>
        <v>21511</v>
      </c>
      <c r="J86" s="12">
        <f>+'5.1. Séreignard.'!J86</f>
        <v>67395</v>
      </c>
      <c r="K86" s="12">
        <f>+'5.1. Séreignard.'!K86</f>
        <v>94680</v>
      </c>
      <c r="L86" s="12">
        <f>+'5.1. Séreignard.'!L86</f>
        <v>55320</v>
      </c>
      <c r="M86" s="12">
        <f>+'5.1. Séreignard.'!M86</f>
        <v>74966</v>
      </c>
      <c r="N86" s="12">
        <f>+'5.1. Séreignard.'!N86</f>
        <v>4994</v>
      </c>
      <c r="O86" s="12">
        <f>+'5.1. Séreignard.'!O86</f>
        <v>341729</v>
      </c>
      <c r="P86" s="12">
        <f>+'5.1. Séreignard.'!P86</f>
        <v>2171688</v>
      </c>
      <c r="Q86" s="12">
        <f>+'5.1. Séreignard.'!Q86</f>
        <v>10955526</v>
      </c>
      <c r="R86" s="12">
        <f>+'5.1. Séreignard.'!R86</f>
        <v>31304721</v>
      </c>
      <c r="S86" s="12">
        <f>+'5.1. Séreignard.'!S86</f>
        <v>3049168</v>
      </c>
      <c r="T86" s="12">
        <f>+'5.1. Séreignard.'!T86</f>
        <v>1387611</v>
      </c>
      <c r="U86" s="12">
        <f>+'5.1. Séreignard.'!U86</f>
        <v>9326</v>
      </c>
      <c r="V86" s="12">
        <f>+'5.1. Séreignard.'!V86</f>
        <v>695173</v>
      </c>
      <c r="W86" s="12">
        <f>+'5.1. Séreignard.'!W86</f>
        <v>145332</v>
      </c>
      <c r="X86" s="12">
        <f>+'5.1. Séreignard.'!X86</f>
        <v>107354</v>
      </c>
      <c r="Y86" s="12">
        <f>+'5.1. Séreignard.'!Y86</f>
        <v>2065295</v>
      </c>
      <c r="Z86" s="12">
        <f>+'5.1. Séreignard.'!Z86</f>
        <v>40888260</v>
      </c>
      <c r="AA86" s="12">
        <f>+'5.1. Séreignard.'!AA86</f>
        <v>2754806</v>
      </c>
      <c r="AB86" s="12">
        <f>+'5.1. Séreignard.'!AB86</f>
        <v>3991509</v>
      </c>
      <c r="AC86" s="12">
        <f>+'5.1. Séreignard.'!AC86</f>
        <v>419210</v>
      </c>
      <c r="AD86" s="12">
        <f>+'5.1. Séreignard.'!AD86</f>
        <v>1638590</v>
      </c>
      <c r="AE86" s="12">
        <f>+'5.1. Séreignard.'!AE86</f>
        <v>330245</v>
      </c>
      <c r="AF86" s="12">
        <f>+'5.1. Séreignard.'!AF86</f>
        <v>99947</v>
      </c>
      <c r="AG86" s="12">
        <f>+'5.1. Séreignard.'!AG86</f>
        <v>88076</v>
      </c>
      <c r="AH86" s="12">
        <f>+'5.1. Séreignard.'!AH86</f>
        <v>1391277</v>
      </c>
      <c r="AI86" s="12">
        <f>+'5.1. Séreignard.'!AI86</f>
        <v>36339</v>
      </c>
      <c r="AJ86" s="12">
        <f>+'5.1. Séreignard.'!AJ86</f>
        <v>311851</v>
      </c>
      <c r="AK86" s="12">
        <f>+'5.1. Séreignard.'!AK86</f>
        <v>589287</v>
      </c>
      <c r="AL86" s="12">
        <f>+'5.1. Séreignard.'!AL86</f>
        <v>87160</v>
      </c>
      <c r="AM86" s="12">
        <f>+'5.1. Séreignard.'!AM86</f>
        <v>49321</v>
      </c>
      <c r="AN86" s="12">
        <f>+'5.1. Séreignard.'!AN86</f>
        <v>8153179</v>
      </c>
      <c r="AO86" s="12">
        <f>+'5.1. Séreignard.'!AO86</f>
        <v>5645198</v>
      </c>
      <c r="AP86" s="12">
        <f>+'5.1. Séreignard.'!AP86</f>
        <v>3981895</v>
      </c>
      <c r="AQ86" s="12">
        <f>+'5.1. Séreignard.'!AQ86</f>
        <v>2297714</v>
      </c>
      <c r="AR86" s="12">
        <f>+'5.1. Séreignard.'!AR86</f>
        <v>38345</v>
      </c>
      <c r="AS86" s="12">
        <f>+'5.1. Séreignard.'!AS86</f>
        <v>122532</v>
      </c>
      <c r="AT86" s="12">
        <f>+'5.1. Séreignard.'!AT86</f>
        <v>2209303</v>
      </c>
      <c r="AU86" s="12"/>
      <c r="AV86" s="12">
        <f>+'5.1. Séreignard.'!AV86</f>
        <v>140579263</v>
      </c>
      <c r="AW86" s="12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</row>
    <row r="87" spans="1:162" ht="12.75" customHeight="1">
      <c r="A87" s="12"/>
      <c r="B87" s="14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</row>
    <row r="88" spans="1:162" ht="12.75" customHeight="1">
      <c r="A88" s="12" t="str">
        <f aca="true" t="shared" si="16" ref="A88:A94">+A10</f>
        <v>Skráð verðbréf með br. tekjum (%)</v>
      </c>
      <c r="B88" s="146"/>
      <c r="C88" s="12">
        <f aca="true" t="shared" si="17" ref="C88:AT88">C86*C10%</f>
        <v>3659128.478</v>
      </c>
      <c r="D88" s="12">
        <f t="shared" si="17"/>
        <v>1104556.2419999999</v>
      </c>
      <c r="E88" s="12">
        <f t="shared" si="17"/>
        <v>0</v>
      </c>
      <c r="F88" s="12">
        <f t="shared" si="17"/>
        <v>2948365.8120000004</v>
      </c>
      <c r="G88" s="12">
        <f t="shared" si="17"/>
        <v>250177.44</v>
      </c>
      <c r="H88" s="12">
        <f t="shared" si="17"/>
        <v>277857.606</v>
      </c>
      <c r="I88" s="12">
        <f t="shared" si="17"/>
        <v>0</v>
      </c>
      <c r="J88" s="12">
        <f t="shared" si="17"/>
        <v>26958</v>
      </c>
      <c r="K88" s="12">
        <f t="shared" si="17"/>
        <v>28404</v>
      </c>
      <c r="L88" s="12">
        <f t="shared" si="17"/>
        <v>11064</v>
      </c>
      <c r="M88" s="12">
        <f t="shared" si="17"/>
        <v>7496.6</v>
      </c>
      <c r="N88" s="12">
        <f t="shared" si="17"/>
        <v>0</v>
      </c>
      <c r="O88" s="12">
        <f t="shared" si="17"/>
        <v>119605.15</v>
      </c>
      <c r="P88" s="12">
        <f t="shared" si="17"/>
        <v>0</v>
      </c>
      <c r="Q88" s="12">
        <f t="shared" si="17"/>
        <v>8326199.76</v>
      </c>
      <c r="R88" s="12">
        <f t="shared" si="17"/>
        <v>24574205.985</v>
      </c>
      <c r="S88" s="12">
        <f t="shared" si="17"/>
        <v>1927074.176</v>
      </c>
      <c r="T88" s="12">
        <f t="shared" si="17"/>
        <v>1380672.945</v>
      </c>
      <c r="U88" s="12">
        <f t="shared" si="17"/>
        <v>0</v>
      </c>
      <c r="V88" s="12">
        <f t="shared" si="17"/>
        <v>0</v>
      </c>
      <c r="W88" s="12">
        <f t="shared" si="17"/>
        <v>27613.08</v>
      </c>
      <c r="X88" s="12">
        <f t="shared" si="17"/>
        <v>27053.208</v>
      </c>
      <c r="Y88" s="12">
        <f t="shared" si="17"/>
        <v>815791.525</v>
      </c>
      <c r="Z88" s="12">
        <f t="shared" si="17"/>
        <v>25964045.1</v>
      </c>
      <c r="AA88" s="12">
        <f t="shared" si="17"/>
        <v>1479330.8220000002</v>
      </c>
      <c r="AB88" s="12">
        <f t="shared" si="17"/>
        <v>7983.018</v>
      </c>
      <c r="AC88" s="12">
        <f t="shared" si="17"/>
        <v>108994.6</v>
      </c>
      <c r="AD88" s="12">
        <f t="shared" si="17"/>
        <v>835680.9</v>
      </c>
      <c r="AE88" s="12">
        <f t="shared" si="17"/>
        <v>130446.77500000001</v>
      </c>
      <c r="AF88" s="12">
        <f t="shared" si="17"/>
        <v>99947</v>
      </c>
      <c r="AG88" s="12">
        <f t="shared" si="17"/>
        <v>88076</v>
      </c>
      <c r="AH88" s="12">
        <f t="shared" si="17"/>
        <v>1380146.784</v>
      </c>
      <c r="AI88" s="12">
        <f t="shared" si="17"/>
        <v>35176.152</v>
      </c>
      <c r="AJ88" s="12">
        <f t="shared" si="17"/>
        <v>252287.459</v>
      </c>
      <c r="AK88" s="12">
        <f t="shared" si="17"/>
        <v>480858.192</v>
      </c>
      <c r="AL88" s="12">
        <f t="shared" si="17"/>
        <v>86549.88</v>
      </c>
      <c r="AM88" s="12">
        <f t="shared" si="17"/>
        <v>49321</v>
      </c>
      <c r="AN88" s="12">
        <f t="shared" si="17"/>
        <v>7134031.625</v>
      </c>
      <c r="AO88" s="12">
        <f t="shared" si="17"/>
        <v>4691159.538</v>
      </c>
      <c r="AP88" s="12">
        <f t="shared" si="17"/>
        <v>3639452.0300000003</v>
      </c>
      <c r="AQ88" s="12">
        <f t="shared" si="17"/>
        <v>0</v>
      </c>
      <c r="AR88" s="12">
        <f t="shared" si="17"/>
        <v>15836.484999999999</v>
      </c>
      <c r="AS88" s="12">
        <f t="shared" si="17"/>
        <v>75112.116</v>
      </c>
      <c r="AT88" s="12">
        <f t="shared" si="17"/>
        <v>1864651.732</v>
      </c>
      <c r="AU88" s="12"/>
      <c r="AV88" s="12">
        <f aca="true" t="shared" si="18" ref="AV88:AV93">SUM(C88:AT88)</f>
        <v>93931311.21499999</v>
      </c>
      <c r="AW88" s="12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</row>
    <row r="89" spans="1:162" ht="12.75" customHeight="1">
      <c r="A89" s="12" t="str">
        <f t="shared" si="16"/>
        <v>Skráð verðbréf með föst. tekjum (%)</v>
      </c>
      <c r="B89" s="146"/>
      <c r="C89" s="12">
        <f aca="true" t="shared" si="19" ref="C89:AT89">C86*C11%</f>
        <v>263898.39400000003</v>
      </c>
      <c r="D89" s="12">
        <f t="shared" si="19"/>
        <v>112162.444</v>
      </c>
      <c r="E89" s="12">
        <f t="shared" si="19"/>
        <v>0</v>
      </c>
      <c r="F89" s="12">
        <f t="shared" si="19"/>
        <v>1568397.6030000001</v>
      </c>
      <c r="G89" s="12">
        <f t="shared" si="19"/>
        <v>339915</v>
      </c>
      <c r="H89" s="12">
        <f t="shared" si="19"/>
        <v>734106.282</v>
      </c>
      <c r="I89" s="12">
        <f t="shared" si="19"/>
        <v>0</v>
      </c>
      <c r="J89" s="12">
        <f t="shared" si="19"/>
        <v>35112.795</v>
      </c>
      <c r="K89" s="12">
        <f t="shared" si="19"/>
        <v>57565.439999999995</v>
      </c>
      <c r="L89" s="12">
        <f t="shared" si="19"/>
        <v>38392.08</v>
      </c>
      <c r="M89" s="12">
        <f t="shared" si="19"/>
        <v>58548.445999999996</v>
      </c>
      <c r="N89" s="12">
        <f t="shared" si="19"/>
        <v>4334.792</v>
      </c>
      <c r="O89" s="12">
        <f t="shared" si="19"/>
        <v>192735.156</v>
      </c>
      <c r="P89" s="12">
        <f t="shared" si="19"/>
        <v>1885025.184</v>
      </c>
      <c r="Q89" s="12">
        <f t="shared" si="19"/>
        <v>2278749.4080000003</v>
      </c>
      <c r="R89" s="12">
        <f t="shared" si="19"/>
        <v>5008755.36</v>
      </c>
      <c r="S89" s="12">
        <f t="shared" si="19"/>
        <v>704357.8080000001</v>
      </c>
      <c r="T89" s="12">
        <f t="shared" si="19"/>
        <v>0</v>
      </c>
      <c r="U89" s="12">
        <f t="shared" si="19"/>
        <v>0</v>
      </c>
      <c r="V89" s="12">
        <f t="shared" si="19"/>
        <v>182830.499</v>
      </c>
      <c r="W89" s="12">
        <f t="shared" si="19"/>
        <v>22090.464</v>
      </c>
      <c r="X89" s="12">
        <f t="shared" si="19"/>
        <v>50563.734000000004</v>
      </c>
      <c r="Y89" s="12">
        <f t="shared" si="19"/>
        <v>826118</v>
      </c>
      <c r="Z89" s="12">
        <f t="shared" si="19"/>
        <v>14310891</v>
      </c>
      <c r="AA89" s="12">
        <f t="shared" si="19"/>
        <v>1225888.67</v>
      </c>
      <c r="AB89" s="12">
        <f t="shared" si="19"/>
        <v>3384799.6319999998</v>
      </c>
      <c r="AC89" s="12">
        <f t="shared" si="19"/>
        <v>310215.4</v>
      </c>
      <c r="AD89" s="12">
        <f t="shared" si="19"/>
        <v>802909.1</v>
      </c>
      <c r="AE89" s="12">
        <f t="shared" si="19"/>
        <v>199798.225</v>
      </c>
      <c r="AF89" s="12">
        <f t="shared" si="19"/>
        <v>0</v>
      </c>
      <c r="AG89" s="12">
        <f t="shared" si="19"/>
        <v>0</v>
      </c>
      <c r="AH89" s="12">
        <f t="shared" si="19"/>
        <v>0</v>
      </c>
      <c r="AI89" s="12">
        <f t="shared" si="19"/>
        <v>0</v>
      </c>
      <c r="AJ89" s="12">
        <f t="shared" si="19"/>
        <v>59563.541</v>
      </c>
      <c r="AK89" s="12">
        <f t="shared" si="19"/>
        <v>103714.51200000002</v>
      </c>
      <c r="AL89" s="12">
        <f t="shared" si="19"/>
        <v>0</v>
      </c>
      <c r="AM89" s="12">
        <f t="shared" si="19"/>
        <v>0</v>
      </c>
      <c r="AN89" s="12">
        <f t="shared" si="19"/>
        <v>138604.043</v>
      </c>
      <c r="AO89" s="12">
        <f t="shared" si="19"/>
        <v>265324.306</v>
      </c>
      <c r="AP89" s="12">
        <f t="shared" si="19"/>
        <v>83619.795</v>
      </c>
      <c r="AQ89" s="12">
        <f t="shared" si="19"/>
        <v>0</v>
      </c>
      <c r="AR89" s="12">
        <f t="shared" si="19"/>
        <v>22508.515000000003</v>
      </c>
      <c r="AS89" s="12">
        <f t="shared" si="19"/>
        <v>47419.884</v>
      </c>
      <c r="AT89" s="12">
        <f t="shared" si="19"/>
        <v>83953.514</v>
      </c>
      <c r="AU89" s="12"/>
      <c r="AV89" s="12">
        <f t="shared" si="18"/>
        <v>35402869.02600001</v>
      </c>
      <c r="AW89" s="12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</row>
    <row r="90" spans="1:162" ht="12.75" customHeight="1">
      <c r="A90" s="12" t="str">
        <f t="shared" si="16"/>
        <v>Óskráð verðbréf með br. tekjum (%)</v>
      </c>
      <c r="B90" s="146"/>
      <c r="C90" s="12">
        <f aca="true" t="shared" si="20" ref="C90:AT90">C86*C12%</f>
        <v>15755.128</v>
      </c>
      <c r="D90" s="12">
        <f t="shared" si="20"/>
        <v>2438.314</v>
      </c>
      <c r="E90" s="12">
        <f t="shared" si="20"/>
        <v>0</v>
      </c>
      <c r="F90" s="12">
        <f t="shared" si="20"/>
        <v>110840.82</v>
      </c>
      <c r="G90" s="12">
        <f t="shared" si="20"/>
        <v>0</v>
      </c>
      <c r="H90" s="12">
        <f t="shared" si="20"/>
        <v>0</v>
      </c>
      <c r="I90" s="12">
        <f t="shared" si="20"/>
        <v>0</v>
      </c>
      <c r="J90" s="12">
        <f t="shared" si="20"/>
        <v>0</v>
      </c>
      <c r="K90" s="12">
        <f t="shared" si="20"/>
        <v>0</v>
      </c>
      <c r="L90" s="12">
        <f t="shared" si="20"/>
        <v>0</v>
      </c>
      <c r="M90" s="12">
        <f t="shared" si="20"/>
        <v>0</v>
      </c>
      <c r="N90" s="12">
        <f t="shared" si="20"/>
        <v>0</v>
      </c>
      <c r="O90" s="12">
        <f t="shared" si="20"/>
        <v>0</v>
      </c>
      <c r="P90" s="12">
        <f t="shared" si="20"/>
        <v>0</v>
      </c>
      <c r="Q90" s="12">
        <f t="shared" si="20"/>
        <v>0</v>
      </c>
      <c r="R90" s="12">
        <f t="shared" si="20"/>
        <v>0</v>
      </c>
      <c r="S90" s="12">
        <f t="shared" si="20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2">
        <f t="shared" si="20"/>
        <v>0</v>
      </c>
      <c r="X90" s="12">
        <f t="shared" si="20"/>
        <v>0</v>
      </c>
      <c r="Y90" s="12">
        <f t="shared" si="20"/>
        <v>113591.225</v>
      </c>
      <c r="Z90" s="12">
        <f t="shared" si="20"/>
        <v>40888.26</v>
      </c>
      <c r="AA90" s="12">
        <f t="shared" si="20"/>
        <v>0</v>
      </c>
      <c r="AB90" s="12">
        <f t="shared" si="20"/>
        <v>0</v>
      </c>
      <c r="AC90" s="12">
        <f t="shared" si="20"/>
        <v>0</v>
      </c>
      <c r="AD90" s="12">
        <f t="shared" si="20"/>
        <v>0</v>
      </c>
      <c r="AE90" s="12">
        <f t="shared" si="20"/>
        <v>0</v>
      </c>
      <c r="AF90" s="12">
        <f t="shared" si="20"/>
        <v>0</v>
      </c>
      <c r="AG90" s="12">
        <f t="shared" si="20"/>
        <v>0</v>
      </c>
      <c r="AH90" s="12">
        <f t="shared" si="20"/>
        <v>11130.216</v>
      </c>
      <c r="AI90" s="12">
        <f t="shared" si="20"/>
        <v>1162.848</v>
      </c>
      <c r="AJ90" s="12">
        <f t="shared" si="20"/>
        <v>0</v>
      </c>
      <c r="AK90" s="12">
        <f t="shared" si="20"/>
        <v>4714.296</v>
      </c>
      <c r="AL90" s="12">
        <f t="shared" si="20"/>
        <v>610.1199999999999</v>
      </c>
      <c r="AM90" s="12">
        <f t="shared" si="20"/>
        <v>0</v>
      </c>
      <c r="AN90" s="12">
        <f t="shared" si="20"/>
        <v>790858.3629999999</v>
      </c>
      <c r="AO90" s="12">
        <f t="shared" si="20"/>
        <v>604036.186</v>
      </c>
      <c r="AP90" s="12">
        <f t="shared" si="20"/>
        <v>222986.11999999997</v>
      </c>
      <c r="AQ90" s="12">
        <f t="shared" si="20"/>
        <v>0</v>
      </c>
      <c r="AR90" s="12">
        <f t="shared" si="20"/>
        <v>0</v>
      </c>
      <c r="AS90" s="12">
        <f t="shared" si="20"/>
        <v>0</v>
      </c>
      <c r="AT90" s="12">
        <f t="shared" si="20"/>
        <v>190000.058</v>
      </c>
      <c r="AU90" s="12"/>
      <c r="AV90" s="12">
        <f t="shared" si="18"/>
        <v>2109011.954</v>
      </c>
      <c r="AW90" s="12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</row>
    <row r="91" spans="1:162" ht="12.75" customHeight="1">
      <c r="A91" s="12" t="str">
        <f t="shared" si="16"/>
        <v>Óskráð verðbréf með föst. tekjum (%)</v>
      </c>
      <c r="B91" s="146"/>
      <c r="C91" s="12">
        <f aca="true" t="shared" si="21" ref="C91:AT91">C86*C13%</f>
        <v>0</v>
      </c>
      <c r="D91" s="12">
        <f t="shared" si="21"/>
        <v>0</v>
      </c>
      <c r="E91" s="12">
        <f t="shared" si="21"/>
        <v>0</v>
      </c>
      <c r="F91" s="12">
        <f t="shared" si="21"/>
        <v>177345.312</v>
      </c>
      <c r="G91" s="12">
        <f t="shared" si="21"/>
        <v>0</v>
      </c>
      <c r="H91" s="12">
        <f t="shared" si="21"/>
        <v>0</v>
      </c>
      <c r="I91" s="12">
        <f t="shared" si="21"/>
        <v>21511</v>
      </c>
      <c r="J91" s="12">
        <f t="shared" si="21"/>
        <v>0</v>
      </c>
      <c r="K91" s="12">
        <f t="shared" si="21"/>
        <v>0</v>
      </c>
      <c r="L91" s="12">
        <f t="shared" si="21"/>
        <v>0</v>
      </c>
      <c r="M91" s="12">
        <f t="shared" si="21"/>
        <v>0</v>
      </c>
      <c r="N91" s="12">
        <f t="shared" si="21"/>
        <v>0</v>
      </c>
      <c r="O91" s="12">
        <f t="shared" si="21"/>
        <v>0</v>
      </c>
      <c r="P91" s="12">
        <f t="shared" si="21"/>
        <v>0</v>
      </c>
      <c r="Q91" s="12">
        <f t="shared" si="21"/>
        <v>65733.156</v>
      </c>
      <c r="R91" s="12">
        <f t="shared" si="21"/>
        <v>313047.21</v>
      </c>
      <c r="S91" s="12">
        <f t="shared" si="21"/>
        <v>45737.52</v>
      </c>
      <c r="T91" s="12">
        <f t="shared" si="21"/>
        <v>0</v>
      </c>
      <c r="U91" s="12">
        <f t="shared" si="21"/>
        <v>0</v>
      </c>
      <c r="V91" s="12">
        <f t="shared" si="21"/>
        <v>74383.511</v>
      </c>
      <c r="W91" s="12">
        <f t="shared" si="21"/>
        <v>9010.584</v>
      </c>
      <c r="X91" s="12">
        <f t="shared" si="21"/>
        <v>3757.3900000000003</v>
      </c>
      <c r="Y91" s="12">
        <f t="shared" si="21"/>
        <v>41305.9</v>
      </c>
      <c r="Z91" s="12">
        <f t="shared" si="21"/>
        <v>286217.81999999995</v>
      </c>
      <c r="AA91" s="12">
        <f t="shared" si="21"/>
        <v>49586.50800000001</v>
      </c>
      <c r="AB91" s="12">
        <f t="shared" si="21"/>
        <v>151677.342</v>
      </c>
      <c r="AC91" s="12">
        <f t="shared" si="21"/>
        <v>0</v>
      </c>
      <c r="AD91" s="12">
        <f t="shared" si="21"/>
        <v>0</v>
      </c>
      <c r="AE91" s="12">
        <f t="shared" si="21"/>
        <v>0</v>
      </c>
      <c r="AF91" s="12">
        <f t="shared" si="21"/>
        <v>0</v>
      </c>
      <c r="AG91" s="12">
        <f t="shared" si="21"/>
        <v>0</v>
      </c>
      <c r="AH91" s="12">
        <f t="shared" si="21"/>
        <v>0</v>
      </c>
      <c r="AI91" s="12">
        <f t="shared" si="21"/>
        <v>0</v>
      </c>
      <c r="AJ91" s="12">
        <f t="shared" si="21"/>
        <v>0</v>
      </c>
      <c r="AK91" s="12">
        <f t="shared" si="21"/>
        <v>0</v>
      </c>
      <c r="AL91" s="12">
        <f t="shared" si="21"/>
        <v>0</v>
      </c>
      <c r="AM91" s="12">
        <f t="shared" si="21"/>
        <v>0</v>
      </c>
      <c r="AN91" s="12">
        <f t="shared" si="21"/>
        <v>65225.432</v>
      </c>
      <c r="AO91" s="12">
        <f t="shared" si="21"/>
        <v>79032.772</v>
      </c>
      <c r="AP91" s="12">
        <f t="shared" si="21"/>
        <v>31855.16</v>
      </c>
      <c r="AQ91" s="12">
        <f t="shared" si="21"/>
        <v>0</v>
      </c>
      <c r="AR91" s="12">
        <f t="shared" si="21"/>
        <v>0</v>
      </c>
      <c r="AS91" s="12">
        <f t="shared" si="21"/>
        <v>0</v>
      </c>
      <c r="AT91" s="12">
        <f t="shared" si="21"/>
        <v>19883.727000000003</v>
      </c>
      <c r="AU91" s="12"/>
      <c r="AV91" s="12">
        <f t="shared" si="18"/>
        <v>1435310.3439999998</v>
      </c>
      <c r="AW91" s="12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</row>
    <row r="92" spans="1:162" ht="12.75" customHeight="1">
      <c r="A92" s="12" t="str">
        <f t="shared" si="16"/>
        <v>Veðlán (%)</v>
      </c>
      <c r="B92" s="146"/>
      <c r="C92" s="12">
        <f aca="true" t="shared" si="22" ref="C92:AT92">C86*C14%</f>
        <v>0</v>
      </c>
      <c r="D92" s="12">
        <f t="shared" si="22"/>
        <v>0</v>
      </c>
      <c r="E92" s="12">
        <f t="shared" si="22"/>
        <v>0</v>
      </c>
      <c r="F92" s="12">
        <f t="shared" si="22"/>
        <v>737091.4530000001</v>
      </c>
      <c r="G92" s="12">
        <f t="shared" si="22"/>
        <v>0</v>
      </c>
      <c r="H92" s="12">
        <f t="shared" si="22"/>
        <v>0</v>
      </c>
      <c r="I92" s="12">
        <f t="shared" si="22"/>
        <v>0</v>
      </c>
      <c r="J92" s="12">
        <f t="shared" si="22"/>
        <v>5324.205</v>
      </c>
      <c r="K92" s="12">
        <f t="shared" si="22"/>
        <v>8710.56</v>
      </c>
      <c r="L92" s="12">
        <f t="shared" si="22"/>
        <v>5863.92</v>
      </c>
      <c r="M92" s="12">
        <f t="shared" si="22"/>
        <v>8920.954000000002</v>
      </c>
      <c r="N92" s="12">
        <f t="shared" si="22"/>
        <v>659.2080000000001</v>
      </c>
      <c r="O92" s="12">
        <f t="shared" si="22"/>
        <v>29388.693999999996</v>
      </c>
      <c r="P92" s="12">
        <f t="shared" si="22"/>
        <v>286662.816</v>
      </c>
      <c r="Q92" s="12">
        <f t="shared" si="22"/>
        <v>284843.67600000004</v>
      </c>
      <c r="R92" s="12">
        <f t="shared" si="22"/>
        <v>1408712.4449999998</v>
      </c>
      <c r="S92" s="12">
        <f t="shared" si="22"/>
        <v>371998.496</v>
      </c>
      <c r="T92" s="12">
        <f t="shared" si="22"/>
        <v>0</v>
      </c>
      <c r="U92" s="12">
        <f t="shared" si="22"/>
        <v>0</v>
      </c>
      <c r="V92" s="12">
        <f t="shared" si="22"/>
        <v>388601.70699999994</v>
      </c>
      <c r="W92" s="12">
        <f t="shared" si="22"/>
        <v>46942.23599999999</v>
      </c>
      <c r="X92" s="12">
        <f t="shared" si="22"/>
        <v>0</v>
      </c>
      <c r="Y92" s="12">
        <f t="shared" si="22"/>
        <v>264357.76</v>
      </c>
      <c r="Z92" s="12">
        <f t="shared" si="22"/>
        <v>286217.81999999995</v>
      </c>
      <c r="AA92" s="12">
        <f t="shared" si="22"/>
        <v>0</v>
      </c>
      <c r="AB92" s="12">
        <f t="shared" si="22"/>
        <v>0</v>
      </c>
      <c r="AC92" s="12">
        <f t="shared" si="22"/>
        <v>0</v>
      </c>
      <c r="AD92" s="12">
        <f t="shared" si="22"/>
        <v>0</v>
      </c>
      <c r="AE92" s="12">
        <f t="shared" si="22"/>
        <v>0</v>
      </c>
      <c r="AF92" s="12">
        <f t="shared" si="22"/>
        <v>0</v>
      </c>
      <c r="AG92" s="12">
        <f t="shared" si="22"/>
        <v>0</v>
      </c>
      <c r="AH92" s="12">
        <f t="shared" si="22"/>
        <v>0</v>
      </c>
      <c r="AI92" s="12">
        <f t="shared" si="22"/>
        <v>0</v>
      </c>
      <c r="AJ92" s="12">
        <f t="shared" si="22"/>
        <v>0</v>
      </c>
      <c r="AK92" s="12">
        <f t="shared" si="22"/>
        <v>0</v>
      </c>
      <c r="AL92" s="12">
        <f t="shared" si="22"/>
        <v>0</v>
      </c>
      <c r="AM92" s="12">
        <f t="shared" si="22"/>
        <v>0</v>
      </c>
      <c r="AN92" s="12">
        <f t="shared" si="22"/>
        <v>0</v>
      </c>
      <c r="AO92" s="12">
        <f t="shared" si="22"/>
        <v>0</v>
      </c>
      <c r="AP92" s="12">
        <f t="shared" si="22"/>
        <v>0</v>
      </c>
      <c r="AQ92" s="12">
        <f t="shared" si="22"/>
        <v>0</v>
      </c>
      <c r="AR92" s="12">
        <f t="shared" si="22"/>
        <v>0</v>
      </c>
      <c r="AS92" s="12">
        <f t="shared" si="22"/>
        <v>0</v>
      </c>
      <c r="AT92" s="12">
        <f t="shared" si="22"/>
        <v>50813.969</v>
      </c>
      <c r="AU92" s="12"/>
      <c r="AV92" s="12">
        <f t="shared" si="18"/>
        <v>4185109.9189999998</v>
      </c>
      <c r="AW92" s="12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</row>
    <row r="93" spans="1:49" ht="12.75" customHeight="1">
      <c r="A93" s="12" t="str">
        <f t="shared" si="16"/>
        <v>Annað (%)</v>
      </c>
      <c r="B93" s="146"/>
      <c r="C93" s="12">
        <f aca="true" t="shared" si="23" ref="C93:AT93">C86*C15%</f>
        <v>0</v>
      </c>
      <c r="D93" s="12">
        <f t="shared" si="23"/>
        <v>0</v>
      </c>
      <c r="E93" s="12">
        <f t="shared" si="23"/>
        <v>442462</v>
      </c>
      <c r="F93" s="12">
        <f t="shared" si="23"/>
        <v>0</v>
      </c>
      <c r="G93" s="12">
        <f t="shared" si="23"/>
        <v>89737.56</v>
      </c>
      <c r="H93" s="12">
        <f t="shared" si="23"/>
        <v>69194.11200000001</v>
      </c>
      <c r="I93" s="12">
        <f t="shared" si="23"/>
        <v>0</v>
      </c>
      <c r="J93" s="12">
        <f t="shared" si="23"/>
        <v>0</v>
      </c>
      <c r="K93" s="12">
        <f t="shared" si="23"/>
        <v>0</v>
      </c>
      <c r="L93" s="12">
        <f t="shared" si="23"/>
        <v>0</v>
      </c>
      <c r="M93" s="12">
        <f t="shared" si="23"/>
        <v>0</v>
      </c>
      <c r="N93" s="12">
        <f t="shared" si="23"/>
        <v>0</v>
      </c>
      <c r="O93" s="12">
        <f t="shared" si="23"/>
        <v>0</v>
      </c>
      <c r="P93" s="12">
        <f t="shared" si="23"/>
        <v>0</v>
      </c>
      <c r="Q93" s="12">
        <f t="shared" si="23"/>
        <v>0</v>
      </c>
      <c r="R93" s="12">
        <f t="shared" si="23"/>
        <v>0</v>
      </c>
      <c r="S93" s="12">
        <f t="shared" si="23"/>
        <v>0</v>
      </c>
      <c r="T93" s="12">
        <f t="shared" si="23"/>
        <v>6938.055</v>
      </c>
      <c r="U93" s="12">
        <f t="shared" si="23"/>
        <v>9326</v>
      </c>
      <c r="V93" s="12">
        <f t="shared" si="23"/>
        <v>49357.282999999996</v>
      </c>
      <c r="W93" s="12">
        <f t="shared" si="23"/>
        <v>39675.636000000006</v>
      </c>
      <c r="X93" s="12">
        <f t="shared" si="23"/>
        <v>25979.667999999998</v>
      </c>
      <c r="Y93" s="12">
        <f t="shared" si="23"/>
        <v>4130.59</v>
      </c>
      <c r="Z93" s="12">
        <f t="shared" si="23"/>
        <v>0</v>
      </c>
      <c r="AA93" s="12">
        <f t="shared" si="23"/>
        <v>0</v>
      </c>
      <c r="AB93" s="12">
        <f t="shared" si="23"/>
        <v>447049.008</v>
      </c>
      <c r="AC93" s="12">
        <f t="shared" si="23"/>
        <v>0</v>
      </c>
      <c r="AD93" s="12">
        <f t="shared" si="23"/>
        <v>0</v>
      </c>
      <c r="AE93" s="12">
        <f t="shared" si="23"/>
        <v>0</v>
      </c>
      <c r="AF93" s="12">
        <f t="shared" si="23"/>
        <v>0</v>
      </c>
      <c r="AG93" s="12">
        <f t="shared" si="23"/>
        <v>0</v>
      </c>
      <c r="AH93" s="12">
        <f t="shared" si="23"/>
        <v>0</v>
      </c>
      <c r="AI93" s="12">
        <f t="shared" si="23"/>
        <v>0</v>
      </c>
      <c r="AJ93" s="12">
        <f t="shared" si="23"/>
        <v>0</v>
      </c>
      <c r="AK93" s="12">
        <f t="shared" si="23"/>
        <v>0</v>
      </c>
      <c r="AL93" s="12">
        <f t="shared" si="23"/>
        <v>0</v>
      </c>
      <c r="AM93" s="12">
        <f t="shared" si="23"/>
        <v>0</v>
      </c>
      <c r="AN93" s="12">
        <f t="shared" si="23"/>
        <v>24459.537</v>
      </c>
      <c r="AO93" s="12">
        <f t="shared" si="23"/>
        <v>5645.198</v>
      </c>
      <c r="AP93" s="12">
        <f t="shared" si="23"/>
        <v>3981.895</v>
      </c>
      <c r="AQ93" s="12">
        <f t="shared" si="23"/>
        <v>2297714</v>
      </c>
      <c r="AR93" s="12">
        <f t="shared" si="23"/>
        <v>0</v>
      </c>
      <c r="AS93" s="12">
        <f t="shared" si="23"/>
        <v>0</v>
      </c>
      <c r="AT93" s="12">
        <f t="shared" si="23"/>
        <v>0</v>
      </c>
      <c r="AU93" s="12"/>
      <c r="AV93" s="12">
        <f t="shared" si="18"/>
        <v>3515650.5420000004</v>
      </c>
      <c r="AW93" s="11"/>
    </row>
    <row r="94" spans="1:49" ht="12.75" customHeight="1">
      <c r="A94" s="12" t="str">
        <f t="shared" si="16"/>
        <v>          Samtals:                                       </v>
      </c>
      <c r="C94" s="12">
        <f aca="true" t="shared" si="24" ref="C94:AT94">SUM(C88:C93)</f>
        <v>3938782</v>
      </c>
      <c r="D94" s="12">
        <f t="shared" si="24"/>
        <v>1219156.9999999998</v>
      </c>
      <c r="E94" s="12">
        <f t="shared" si="24"/>
        <v>442462</v>
      </c>
      <c r="F94" s="12">
        <f t="shared" si="24"/>
        <v>5542041.000000001</v>
      </c>
      <c r="G94" s="12">
        <f t="shared" si="24"/>
        <v>679830</v>
      </c>
      <c r="H94" s="12">
        <f t="shared" si="24"/>
        <v>1081158</v>
      </c>
      <c r="I94" s="12">
        <f t="shared" si="24"/>
        <v>21511</v>
      </c>
      <c r="J94" s="12">
        <f t="shared" si="24"/>
        <v>67395</v>
      </c>
      <c r="K94" s="12">
        <f t="shared" si="24"/>
        <v>94680</v>
      </c>
      <c r="L94" s="12">
        <f t="shared" si="24"/>
        <v>55320</v>
      </c>
      <c r="M94" s="12">
        <f t="shared" si="24"/>
        <v>74966</v>
      </c>
      <c r="N94" s="12">
        <f t="shared" si="24"/>
        <v>4994</v>
      </c>
      <c r="O94" s="12">
        <f t="shared" si="24"/>
        <v>341729</v>
      </c>
      <c r="P94" s="12">
        <f t="shared" si="24"/>
        <v>2171688</v>
      </c>
      <c r="Q94" s="12">
        <f t="shared" si="24"/>
        <v>10955526</v>
      </c>
      <c r="R94" s="12">
        <f t="shared" si="24"/>
        <v>31304721</v>
      </c>
      <c r="S94" s="12">
        <f t="shared" si="24"/>
        <v>3049168</v>
      </c>
      <c r="T94" s="12">
        <f t="shared" si="24"/>
        <v>1387611</v>
      </c>
      <c r="U94" s="12">
        <f t="shared" si="24"/>
        <v>9326</v>
      </c>
      <c r="V94" s="12">
        <f t="shared" si="24"/>
        <v>695173</v>
      </c>
      <c r="W94" s="12">
        <f t="shared" si="24"/>
        <v>145332</v>
      </c>
      <c r="X94" s="12">
        <f t="shared" si="24"/>
        <v>107354</v>
      </c>
      <c r="Y94" s="12">
        <f t="shared" si="24"/>
        <v>2065295</v>
      </c>
      <c r="Z94" s="12">
        <f t="shared" si="24"/>
        <v>40888260</v>
      </c>
      <c r="AA94" s="12">
        <f t="shared" si="24"/>
        <v>2754806</v>
      </c>
      <c r="AB94" s="12">
        <f t="shared" si="24"/>
        <v>3991509</v>
      </c>
      <c r="AC94" s="12">
        <f t="shared" si="24"/>
        <v>419210</v>
      </c>
      <c r="AD94" s="12">
        <f t="shared" si="24"/>
        <v>1638590</v>
      </c>
      <c r="AE94" s="12">
        <f t="shared" si="24"/>
        <v>330245</v>
      </c>
      <c r="AF94" s="12">
        <f t="shared" si="24"/>
        <v>99947</v>
      </c>
      <c r="AG94" s="12">
        <f t="shared" si="24"/>
        <v>88076</v>
      </c>
      <c r="AH94" s="12">
        <f t="shared" si="24"/>
        <v>1391277</v>
      </c>
      <c r="AI94" s="12">
        <f t="shared" si="24"/>
        <v>36339</v>
      </c>
      <c r="AJ94" s="12">
        <f t="shared" si="24"/>
        <v>311851</v>
      </c>
      <c r="AK94" s="12">
        <f t="shared" si="24"/>
        <v>589287</v>
      </c>
      <c r="AL94" s="12">
        <f t="shared" si="24"/>
        <v>87160</v>
      </c>
      <c r="AM94" s="12">
        <f t="shared" si="24"/>
        <v>49321</v>
      </c>
      <c r="AN94" s="12">
        <f t="shared" si="24"/>
        <v>8153178.999999999</v>
      </c>
      <c r="AO94" s="12">
        <f t="shared" si="24"/>
        <v>5645197.999999999</v>
      </c>
      <c r="AP94" s="12">
        <f t="shared" si="24"/>
        <v>3981895.0000000005</v>
      </c>
      <c r="AQ94" s="12">
        <f t="shared" si="24"/>
        <v>2297714</v>
      </c>
      <c r="AR94" s="12">
        <f t="shared" si="24"/>
        <v>38345</v>
      </c>
      <c r="AS94" s="12">
        <f t="shared" si="24"/>
        <v>122532</v>
      </c>
      <c r="AT94" s="12">
        <f t="shared" si="24"/>
        <v>2209303</v>
      </c>
      <c r="AU94" s="12"/>
      <c r="AV94" s="12">
        <f>SUM(AV88:AV93)</f>
        <v>140579263</v>
      </c>
      <c r="AW94" s="11"/>
    </row>
    <row r="95" spans="1:49" s="235" customFormat="1" ht="12.75" customHeight="1">
      <c r="A95" s="234"/>
      <c r="B95" s="237"/>
      <c r="C95" s="238">
        <f aca="true" t="shared" si="25" ref="C95:AT95">+C94-C86</f>
        <v>0</v>
      </c>
      <c r="D95" s="238">
        <f t="shared" si="25"/>
        <v>0</v>
      </c>
      <c r="E95" s="238">
        <f t="shared" si="25"/>
        <v>0</v>
      </c>
      <c r="F95" s="238">
        <f t="shared" si="25"/>
        <v>0</v>
      </c>
      <c r="G95" s="238">
        <f t="shared" si="25"/>
        <v>0</v>
      </c>
      <c r="H95" s="238">
        <f t="shared" si="25"/>
        <v>0</v>
      </c>
      <c r="I95" s="238">
        <f t="shared" si="25"/>
        <v>0</v>
      </c>
      <c r="J95" s="238">
        <f t="shared" si="25"/>
        <v>0</v>
      </c>
      <c r="K95" s="238">
        <f t="shared" si="25"/>
        <v>0</v>
      </c>
      <c r="L95" s="238">
        <f t="shared" si="25"/>
        <v>0</v>
      </c>
      <c r="M95" s="238">
        <f t="shared" si="25"/>
        <v>0</v>
      </c>
      <c r="N95" s="238">
        <f t="shared" si="25"/>
        <v>0</v>
      </c>
      <c r="O95" s="238">
        <f t="shared" si="25"/>
        <v>0</v>
      </c>
      <c r="P95" s="238">
        <f t="shared" si="25"/>
        <v>0</v>
      </c>
      <c r="Q95" s="238">
        <f t="shared" si="25"/>
        <v>0</v>
      </c>
      <c r="R95" s="238">
        <f t="shared" si="25"/>
        <v>0</v>
      </c>
      <c r="S95" s="238">
        <f t="shared" si="25"/>
        <v>0</v>
      </c>
      <c r="T95" s="238">
        <f t="shared" si="25"/>
        <v>0</v>
      </c>
      <c r="U95" s="238">
        <f t="shared" si="25"/>
        <v>0</v>
      </c>
      <c r="V95" s="238">
        <f t="shared" si="25"/>
        <v>0</v>
      </c>
      <c r="W95" s="238">
        <f t="shared" si="25"/>
        <v>0</v>
      </c>
      <c r="X95" s="238">
        <f t="shared" si="25"/>
        <v>0</v>
      </c>
      <c r="Y95" s="238">
        <f t="shared" si="25"/>
        <v>0</v>
      </c>
      <c r="Z95" s="238">
        <f t="shared" si="25"/>
        <v>0</v>
      </c>
      <c r="AA95" s="238">
        <f t="shared" si="25"/>
        <v>0</v>
      </c>
      <c r="AB95" s="238">
        <f t="shared" si="25"/>
        <v>0</v>
      </c>
      <c r="AC95" s="238">
        <f t="shared" si="25"/>
        <v>0</v>
      </c>
      <c r="AD95" s="238">
        <f t="shared" si="25"/>
        <v>0</v>
      </c>
      <c r="AE95" s="238">
        <f t="shared" si="25"/>
        <v>0</v>
      </c>
      <c r="AF95" s="238">
        <f t="shared" si="25"/>
        <v>0</v>
      </c>
      <c r="AG95" s="238">
        <f t="shared" si="25"/>
        <v>0</v>
      </c>
      <c r="AH95" s="238">
        <f t="shared" si="25"/>
        <v>0</v>
      </c>
      <c r="AI95" s="238">
        <f t="shared" si="25"/>
        <v>0</v>
      </c>
      <c r="AJ95" s="238">
        <f t="shared" si="25"/>
        <v>0</v>
      </c>
      <c r="AK95" s="238">
        <f t="shared" si="25"/>
        <v>0</v>
      </c>
      <c r="AL95" s="238">
        <f t="shared" si="25"/>
        <v>0</v>
      </c>
      <c r="AM95" s="238">
        <f t="shared" si="25"/>
        <v>0</v>
      </c>
      <c r="AN95" s="238">
        <f t="shared" si="25"/>
        <v>0</v>
      </c>
      <c r="AO95" s="238">
        <f t="shared" si="25"/>
        <v>0</v>
      </c>
      <c r="AP95" s="238">
        <f t="shared" si="25"/>
        <v>0</v>
      </c>
      <c r="AQ95" s="238">
        <f t="shared" si="25"/>
        <v>0</v>
      </c>
      <c r="AR95" s="238">
        <f t="shared" si="25"/>
        <v>0</v>
      </c>
      <c r="AS95" s="238">
        <f t="shared" si="25"/>
        <v>0</v>
      </c>
      <c r="AT95" s="238">
        <f t="shared" si="25"/>
        <v>0</v>
      </c>
      <c r="AU95" s="238"/>
      <c r="AV95" s="238">
        <f>+AV94-'5.1. Séreignard.'!AV86</f>
        <v>0</v>
      </c>
      <c r="AW95" s="228"/>
    </row>
    <row r="96" spans="1:49" ht="12.75" customHeight="1" thickBot="1">
      <c r="A96" s="105"/>
      <c r="B96" s="20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02"/>
      <c r="V96" s="202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03"/>
      <c r="AV96" s="202"/>
      <c r="AW96" s="11"/>
    </row>
    <row r="97" spans="1:49" ht="12.75" customHeight="1">
      <c r="A97" s="14" t="s">
        <v>233</v>
      </c>
      <c r="B97" s="14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92"/>
      <c r="AV97" s="12"/>
      <c r="AW97" s="11"/>
    </row>
    <row r="98" spans="1:49" ht="12.75" customHeight="1">
      <c r="A98" s="12" t="str">
        <f>+A18</f>
        <v>Eignir í ísl. kr. (%)</v>
      </c>
      <c r="B98" s="146"/>
      <c r="C98" s="12">
        <f aca="true" t="shared" si="26" ref="C98:AT98">+C86*C18%</f>
        <v>2599596.12</v>
      </c>
      <c r="D98" s="12">
        <f t="shared" si="26"/>
        <v>966791.5009999999</v>
      </c>
      <c r="E98" s="12">
        <f t="shared" si="26"/>
        <v>442462</v>
      </c>
      <c r="F98" s="12">
        <f t="shared" si="26"/>
        <v>3613410.7320000003</v>
      </c>
      <c r="G98" s="12">
        <f t="shared" si="26"/>
        <v>516670.8</v>
      </c>
      <c r="H98" s="12">
        <f t="shared" si="26"/>
        <v>897361.14</v>
      </c>
      <c r="I98" s="12">
        <f t="shared" si="26"/>
        <v>21511</v>
      </c>
      <c r="J98" s="12">
        <f t="shared" si="26"/>
        <v>47176.5</v>
      </c>
      <c r="K98" s="12">
        <f t="shared" si="26"/>
        <v>75744</v>
      </c>
      <c r="L98" s="12">
        <f t="shared" si="26"/>
        <v>47022</v>
      </c>
      <c r="M98" s="12">
        <f t="shared" si="26"/>
        <v>69343.55</v>
      </c>
      <c r="N98" s="12">
        <f t="shared" si="26"/>
        <v>4994</v>
      </c>
      <c r="O98" s="12">
        <f t="shared" si="26"/>
        <v>256296.75</v>
      </c>
      <c r="P98" s="12">
        <f t="shared" si="26"/>
        <v>2171688</v>
      </c>
      <c r="Q98" s="12">
        <f t="shared" si="26"/>
        <v>6474715.865999999</v>
      </c>
      <c r="R98" s="12">
        <f t="shared" si="26"/>
        <v>19753278.951</v>
      </c>
      <c r="S98" s="12">
        <f t="shared" si="26"/>
        <v>2491170.256</v>
      </c>
      <c r="T98" s="12">
        <f t="shared" si="26"/>
        <v>1387611</v>
      </c>
      <c r="U98" s="12">
        <f t="shared" si="26"/>
        <v>9326</v>
      </c>
      <c r="V98" s="12">
        <f t="shared" si="26"/>
        <v>668061.253</v>
      </c>
      <c r="W98" s="12">
        <f t="shared" si="26"/>
        <v>139228.05599999998</v>
      </c>
      <c r="X98" s="12">
        <f t="shared" si="26"/>
        <v>105206.92</v>
      </c>
      <c r="Y98" s="12">
        <f t="shared" si="26"/>
        <v>1672888.9500000002</v>
      </c>
      <c r="Z98" s="12">
        <f t="shared" si="26"/>
        <v>25555162.5</v>
      </c>
      <c r="AA98" s="12">
        <f t="shared" si="26"/>
        <v>2366378.3540000003</v>
      </c>
      <c r="AB98" s="12">
        <f t="shared" si="26"/>
        <v>3991509</v>
      </c>
      <c r="AC98" s="12">
        <f t="shared" si="26"/>
        <v>352136.39999999997</v>
      </c>
      <c r="AD98" s="12">
        <f t="shared" si="26"/>
        <v>1114241.2000000002</v>
      </c>
      <c r="AE98" s="12">
        <f t="shared" si="26"/>
        <v>243720.81</v>
      </c>
      <c r="AF98" s="12">
        <f t="shared" si="26"/>
        <v>70062.847</v>
      </c>
      <c r="AG98" s="12">
        <f t="shared" si="26"/>
        <v>56368.64</v>
      </c>
      <c r="AH98" s="12">
        <f t="shared" si="26"/>
        <v>1391277</v>
      </c>
      <c r="AI98" s="12">
        <f t="shared" si="26"/>
        <v>26200.418999999998</v>
      </c>
      <c r="AJ98" s="12">
        <f t="shared" si="26"/>
        <v>295011.046</v>
      </c>
      <c r="AK98" s="12">
        <f t="shared" si="26"/>
        <v>454575.99179999996</v>
      </c>
      <c r="AL98" s="12">
        <f t="shared" si="26"/>
        <v>72438.67599999999</v>
      </c>
      <c r="AM98" s="12">
        <f t="shared" si="26"/>
        <v>45212.5607</v>
      </c>
      <c r="AN98" s="12">
        <f t="shared" si="26"/>
        <v>6286101.009</v>
      </c>
      <c r="AO98" s="12">
        <f t="shared" si="26"/>
        <v>4691159.538</v>
      </c>
      <c r="AP98" s="12">
        <f t="shared" si="26"/>
        <v>3651397.7150000003</v>
      </c>
      <c r="AQ98" s="12">
        <f t="shared" si="26"/>
        <v>2297714</v>
      </c>
      <c r="AR98" s="12">
        <f t="shared" si="26"/>
        <v>28260.265</v>
      </c>
      <c r="AS98" s="12">
        <f t="shared" si="26"/>
        <v>71681.22</v>
      </c>
      <c r="AT98" s="12">
        <f t="shared" si="26"/>
        <v>1729884.2489999998</v>
      </c>
      <c r="AU98" s="12"/>
      <c r="AV98" s="12">
        <f>SUM(C98:AT98)</f>
        <v>99222048.78550002</v>
      </c>
      <c r="AW98" s="11"/>
    </row>
    <row r="99" spans="1:49" ht="12.75" customHeight="1">
      <c r="A99" s="12" t="str">
        <f>+A19</f>
        <v>Eignir í erl. gjaldmiðlum (%)</v>
      </c>
      <c r="B99" s="146"/>
      <c r="C99" s="12">
        <f aca="true" t="shared" si="27" ref="C99:AT99">+C86*C19%</f>
        <v>1339185.8800000001</v>
      </c>
      <c r="D99" s="12">
        <f t="shared" si="27"/>
        <v>252365.49899999998</v>
      </c>
      <c r="E99" s="12">
        <f t="shared" si="27"/>
        <v>0</v>
      </c>
      <c r="F99" s="12">
        <f t="shared" si="27"/>
        <v>1928630.268</v>
      </c>
      <c r="G99" s="12">
        <f t="shared" si="27"/>
        <v>163159.19999999998</v>
      </c>
      <c r="H99" s="12">
        <f t="shared" si="27"/>
        <v>183796.86000000002</v>
      </c>
      <c r="I99" s="12">
        <f t="shared" si="27"/>
        <v>0</v>
      </c>
      <c r="J99" s="12">
        <f t="shared" si="27"/>
        <v>20218.5</v>
      </c>
      <c r="K99" s="12">
        <f t="shared" si="27"/>
        <v>18936</v>
      </c>
      <c r="L99" s="12">
        <f t="shared" si="27"/>
        <v>8298</v>
      </c>
      <c r="M99" s="12">
        <f t="shared" si="27"/>
        <v>5622.45</v>
      </c>
      <c r="N99" s="12">
        <f t="shared" si="27"/>
        <v>0</v>
      </c>
      <c r="O99" s="12">
        <f t="shared" si="27"/>
        <v>85432.25</v>
      </c>
      <c r="P99" s="12">
        <f t="shared" si="27"/>
        <v>0</v>
      </c>
      <c r="Q99" s="12">
        <f t="shared" si="27"/>
        <v>4480810.134</v>
      </c>
      <c r="R99" s="12">
        <f t="shared" si="27"/>
        <v>11551442.049</v>
      </c>
      <c r="S99" s="12">
        <f t="shared" si="27"/>
        <v>557997.744</v>
      </c>
      <c r="T99" s="12">
        <f t="shared" si="27"/>
        <v>0</v>
      </c>
      <c r="U99" s="12">
        <f t="shared" si="27"/>
        <v>0</v>
      </c>
      <c r="V99" s="12">
        <f t="shared" si="27"/>
        <v>27111.747</v>
      </c>
      <c r="W99" s="12">
        <f t="shared" si="27"/>
        <v>6103.944</v>
      </c>
      <c r="X99" s="12">
        <f t="shared" si="27"/>
        <v>2147.08</v>
      </c>
      <c r="Y99" s="12">
        <f t="shared" si="27"/>
        <v>392406.05</v>
      </c>
      <c r="Z99" s="12">
        <f t="shared" si="27"/>
        <v>15333097.5</v>
      </c>
      <c r="AA99" s="12">
        <f t="shared" si="27"/>
        <v>388427.64599999995</v>
      </c>
      <c r="AB99" s="12">
        <f t="shared" si="27"/>
        <v>0</v>
      </c>
      <c r="AC99" s="12">
        <f t="shared" si="27"/>
        <v>67073.6</v>
      </c>
      <c r="AD99" s="12">
        <f t="shared" si="27"/>
        <v>524348.8</v>
      </c>
      <c r="AE99" s="12">
        <f t="shared" si="27"/>
        <v>86524.19</v>
      </c>
      <c r="AF99" s="12">
        <f t="shared" si="27"/>
        <v>29884.153</v>
      </c>
      <c r="AG99" s="12">
        <f t="shared" si="27"/>
        <v>31707.36</v>
      </c>
      <c r="AH99" s="12">
        <f t="shared" si="27"/>
        <v>0</v>
      </c>
      <c r="AI99" s="12">
        <f t="shared" si="27"/>
        <v>10138.580999999998</v>
      </c>
      <c r="AJ99" s="12">
        <f t="shared" si="27"/>
        <v>16839.954</v>
      </c>
      <c r="AK99" s="12">
        <f t="shared" si="27"/>
        <v>134711.0082</v>
      </c>
      <c r="AL99" s="12">
        <f t="shared" si="27"/>
        <v>14721.323999999999</v>
      </c>
      <c r="AM99" s="12">
        <f t="shared" si="27"/>
        <v>4108.4393</v>
      </c>
      <c r="AN99" s="12">
        <f t="shared" si="27"/>
        <v>1867077.991</v>
      </c>
      <c r="AO99" s="12">
        <f t="shared" si="27"/>
        <v>954038.4619999999</v>
      </c>
      <c r="AP99" s="12">
        <f t="shared" si="27"/>
        <v>330497.28500000003</v>
      </c>
      <c r="AQ99" s="12">
        <f t="shared" si="27"/>
        <v>0</v>
      </c>
      <c r="AR99" s="12">
        <f t="shared" si="27"/>
        <v>10084.735</v>
      </c>
      <c r="AS99" s="12">
        <f t="shared" si="27"/>
        <v>50850.78</v>
      </c>
      <c r="AT99" s="12">
        <f t="shared" si="27"/>
        <v>479418.751</v>
      </c>
      <c r="AU99" s="12"/>
      <c r="AV99" s="12">
        <f>SUM(C99:AT99)</f>
        <v>41357214.21449999</v>
      </c>
      <c r="AW99" s="11"/>
    </row>
    <row r="100" spans="1:49" ht="12.75" customHeight="1">
      <c r="A100" s="12" t="str">
        <f>+A20</f>
        <v>          Samtals:                                      </v>
      </c>
      <c r="C100" s="12">
        <f aca="true" t="shared" si="28" ref="C100:AT100">SUM(C98:C99)</f>
        <v>3938782</v>
      </c>
      <c r="D100" s="12">
        <f t="shared" si="28"/>
        <v>1219157</v>
      </c>
      <c r="E100" s="12">
        <f t="shared" si="28"/>
        <v>442462</v>
      </c>
      <c r="F100" s="12">
        <f t="shared" si="28"/>
        <v>5542041</v>
      </c>
      <c r="G100" s="12">
        <f t="shared" si="28"/>
        <v>679830</v>
      </c>
      <c r="H100" s="12">
        <f t="shared" si="28"/>
        <v>1081158</v>
      </c>
      <c r="I100" s="12">
        <f t="shared" si="28"/>
        <v>21511</v>
      </c>
      <c r="J100" s="12">
        <f t="shared" si="28"/>
        <v>67395</v>
      </c>
      <c r="K100" s="12">
        <f t="shared" si="28"/>
        <v>94680</v>
      </c>
      <c r="L100" s="12">
        <f t="shared" si="28"/>
        <v>55320</v>
      </c>
      <c r="M100" s="12">
        <f t="shared" si="28"/>
        <v>74966</v>
      </c>
      <c r="N100" s="12">
        <f t="shared" si="28"/>
        <v>4994</v>
      </c>
      <c r="O100" s="12">
        <f t="shared" si="28"/>
        <v>341729</v>
      </c>
      <c r="P100" s="12">
        <f t="shared" si="28"/>
        <v>2171688</v>
      </c>
      <c r="Q100" s="12">
        <f t="shared" si="28"/>
        <v>10955526</v>
      </c>
      <c r="R100" s="12">
        <f t="shared" si="28"/>
        <v>31304721</v>
      </c>
      <c r="S100" s="12">
        <f t="shared" si="28"/>
        <v>3049168</v>
      </c>
      <c r="T100" s="12">
        <f t="shared" si="28"/>
        <v>1387611</v>
      </c>
      <c r="U100" s="12">
        <f t="shared" si="28"/>
        <v>9326</v>
      </c>
      <c r="V100" s="12">
        <f t="shared" si="28"/>
        <v>695173</v>
      </c>
      <c r="W100" s="12">
        <f t="shared" si="28"/>
        <v>145331.99999999997</v>
      </c>
      <c r="X100" s="12">
        <f t="shared" si="28"/>
        <v>107354</v>
      </c>
      <c r="Y100" s="12">
        <f t="shared" si="28"/>
        <v>2065295.0000000002</v>
      </c>
      <c r="Z100" s="12">
        <f t="shared" si="28"/>
        <v>40888260</v>
      </c>
      <c r="AA100" s="12">
        <f t="shared" si="28"/>
        <v>2754806</v>
      </c>
      <c r="AB100" s="12">
        <f t="shared" si="28"/>
        <v>3991509</v>
      </c>
      <c r="AC100" s="12">
        <f t="shared" si="28"/>
        <v>419210</v>
      </c>
      <c r="AD100" s="12">
        <f t="shared" si="28"/>
        <v>1638590.0000000002</v>
      </c>
      <c r="AE100" s="12">
        <f t="shared" si="28"/>
        <v>330245</v>
      </c>
      <c r="AF100" s="12">
        <f t="shared" si="28"/>
        <v>99947</v>
      </c>
      <c r="AG100" s="12">
        <f t="shared" si="28"/>
        <v>88076</v>
      </c>
      <c r="AH100" s="12">
        <f t="shared" si="28"/>
        <v>1391277</v>
      </c>
      <c r="AI100" s="12">
        <f t="shared" si="28"/>
        <v>36339</v>
      </c>
      <c r="AJ100" s="12">
        <f t="shared" si="28"/>
        <v>311851</v>
      </c>
      <c r="AK100" s="12">
        <f t="shared" si="28"/>
        <v>589287</v>
      </c>
      <c r="AL100" s="12">
        <f t="shared" si="28"/>
        <v>87159.99999999999</v>
      </c>
      <c r="AM100" s="12">
        <f t="shared" si="28"/>
        <v>49321</v>
      </c>
      <c r="AN100" s="12">
        <f t="shared" si="28"/>
        <v>8153179</v>
      </c>
      <c r="AO100" s="12">
        <f t="shared" si="28"/>
        <v>5645198</v>
      </c>
      <c r="AP100" s="12">
        <f t="shared" si="28"/>
        <v>3981895.0000000005</v>
      </c>
      <c r="AQ100" s="12">
        <f t="shared" si="28"/>
        <v>2297714</v>
      </c>
      <c r="AR100" s="12">
        <f t="shared" si="28"/>
        <v>38345</v>
      </c>
      <c r="AS100" s="12">
        <f t="shared" si="28"/>
        <v>122532</v>
      </c>
      <c r="AT100" s="12">
        <f t="shared" si="28"/>
        <v>2209303</v>
      </c>
      <c r="AU100" s="12"/>
      <c r="AV100" s="12">
        <f>+AV98+AV99</f>
        <v>140579263</v>
      </c>
      <c r="AW100" s="11"/>
    </row>
    <row r="101" spans="1:49" s="235" customFormat="1" ht="12.75" customHeight="1">
      <c r="A101" s="234"/>
      <c r="B101" s="237"/>
      <c r="C101" s="228">
        <f aca="true" t="shared" si="29" ref="C101:AT101">+C100-C86</f>
        <v>0</v>
      </c>
      <c r="D101" s="228">
        <f t="shared" si="29"/>
        <v>0</v>
      </c>
      <c r="E101" s="228">
        <f t="shared" si="29"/>
        <v>0</v>
      </c>
      <c r="F101" s="228">
        <f t="shared" si="29"/>
        <v>0</v>
      </c>
      <c r="G101" s="228">
        <f t="shared" si="29"/>
        <v>0</v>
      </c>
      <c r="H101" s="228">
        <f t="shared" si="29"/>
        <v>0</v>
      </c>
      <c r="I101" s="228">
        <f t="shared" si="29"/>
        <v>0</v>
      </c>
      <c r="J101" s="228">
        <f t="shared" si="29"/>
        <v>0</v>
      </c>
      <c r="K101" s="228">
        <f t="shared" si="29"/>
        <v>0</v>
      </c>
      <c r="L101" s="228">
        <f t="shared" si="29"/>
        <v>0</v>
      </c>
      <c r="M101" s="228">
        <f t="shared" si="29"/>
        <v>0</v>
      </c>
      <c r="N101" s="228">
        <f t="shared" si="29"/>
        <v>0</v>
      </c>
      <c r="O101" s="228">
        <f t="shared" si="29"/>
        <v>0</v>
      </c>
      <c r="P101" s="228">
        <f t="shared" si="29"/>
        <v>0</v>
      </c>
      <c r="Q101" s="228">
        <f t="shared" si="29"/>
        <v>0</v>
      </c>
      <c r="R101" s="228">
        <f t="shared" si="29"/>
        <v>0</v>
      </c>
      <c r="S101" s="228">
        <f t="shared" si="29"/>
        <v>0</v>
      </c>
      <c r="T101" s="228">
        <f t="shared" si="29"/>
        <v>0</v>
      </c>
      <c r="U101" s="228">
        <f t="shared" si="29"/>
        <v>0</v>
      </c>
      <c r="V101" s="228">
        <f t="shared" si="29"/>
        <v>0</v>
      </c>
      <c r="W101" s="228">
        <f t="shared" si="29"/>
        <v>0</v>
      </c>
      <c r="X101" s="228">
        <f t="shared" si="29"/>
        <v>0</v>
      </c>
      <c r="Y101" s="228">
        <f t="shared" si="29"/>
        <v>0</v>
      </c>
      <c r="Z101" s="228">
        <f t="shared" si="29"/>
        <v>0</v>
      </c>
      <c r="AA101" s="228">
        <f t="shared" si="29"/>
        <v>0</v>
      </c>
      <c r="AB101" s="228">
        <f t="shared" si="29"/>
        <v>0</v>
      </c>
      <c r="AC101" s="228">
        <f t="shared" si="29"/>
        <v>0</v>
      </c>
      <c r="AD101" s="228">
        <f t="shared" si="29"/>
        <v>0</v>
      </c>
      <c r="AE101" s="228">
        <f t="shared" si="29"/>
        <v>0</v>
      </c>
      <c r="AF101" s="228">
        <f t="shared" si="29"/>
        <v>0</v>
      </c>
      <c r="AG101" s="228">
        <f t="shared" si="29"/>
        <v>0</v>
      </c>
      <c r="AH101" s="228">
        <f t="shared" si="29"/>
        <v>0</v>
      </c>
      <c r="AI101" s="228">
        <f t="shared" si="29"/>
        <v>0</v>
      </c>
      <c r="AJ101" s="228">
        <f t="shared" si="29"/>
        <v>0</v>
      </c>
      <c r="AK101" s="228">
        <f t="shared" si="29"/>
        <v>0</v>
      </c>
      <c r="AL101" s="228">
        <f t="shared" si="29"/>
        <v>0</v>
      </c>
      <c r="AM101" s="228">
        <f t="shared" si="29"/>
        <v>0</v>
      </c>
      <c r="AN101" s="228">
        <f t="shared" si="29"/>
        <v>0</v>
      </c>
      <c r="AO101" s="228">
        <f t="shared" si="29"/>
        <v>0</v>
      </c>
      <c r="AP101" s="228">
        <f t="shared" si="29"/>
        <v>0</v>
      </c>
      <c r="AQ101" s="228">
        <f t="shared" si="29"/>
        <v>0</v>
      </c>
      <c r="AR101" s="228">
        <f t="shared" si="29"/>
        <v>0</v>
      </c>
      <c r="AS101" s="228">
        <f t="shared" si="29"/>
        <v>0</v>
      </c>
      <c r="AT101" s="228">
        <f t="shared" si="29"/>
        <v>0</v>
      </c>
      <c r="AU101" s="228"/>
      <c r="AV101" s="228">
        <f>+AV100-'5.1. Séreignard.'!AV86</f>
        <v>0</v>
      </c>
      <c r="AW101" s="228"/>
    </row>
  </sheetData>
  <sheetProtection/>
  <mergeCells count="45">
    <mergeCell ref="U38:Y38"/>
    <mergeCell ref="U37:Y37"/>
    <mergeCell ref="U36:Y36"/>
    <mergeCell ref="J38:K38"/>
    <mergeCell ref="L37:N37"/>
    <mergeCell ref="D37:E37"/>
    <mergeCell ref="AN36:AQ36"/>
    <mergeCell ref="AC36:AD36"/>
    <mergeCell ref="AG1:AG3"/>
    <mergeCell ref="J36:P36"/>
    <mergeCell ref="J37:K37"/>
    <mergeCell ref="U4:Y4"/>
    <mergeCell ref="AF1:AF3"/>
    <mergeCell ref="U1:Y1"/>
    <mergeCell ref="Z1:AB1"/>
    <mergeCell ref="AL36:AM36"/>
    <mergeCell ref="F1:F3"/>
    <mergeCell ref="AJ1:AJ3"/>
    <mergeCell ref="AV1:AV3"/>
    <mergeCell ref="G37:I37"/>
    <mergeCell ref="G36:I36"/>
    <mergeCell ref="C1:E1"/>
    <mergeCell ref="AR1:AS1"/>
    <mergeCell ref="AN4:AQ4"/>
    <mergeCell ref="J1:P1"/>
    <mergeCell ref="AE1:AE3"/>
    <mergeCell ref="AR4:AS4"/>
    <mergeCell ref="J4:P4"/>
    <mergeCell ref="G4:I4"/>
    <mergeCell ref="AC1:AD1"/>
    <mergeCell ref="AT1:AT3"/>
    <mergeCell ref="AH1:AI1"/>
    <mergeCell ref="Q1:T1"/>
    <mergeCell ref="G1:I1"/>
    <mergeCell ref="AN1:AQ1"/>
    <mergeCell ref="AK1:AM1"/>
    <mergeCell ref="C4:E4"/>
    <mergeCell ref="AK4:AM4"/>
    <mergeCell ref="AH4:AI4"/>
    <mergeCell ref="Q36:T36"/>
    <mergeCell ref="Z36:AB36"/>
    <mergeCell ref="Q4:T4"/>
    <mergeCell ref="Z4:AB4"/>
    <mergeCell ref="AC4:AD4"/>
    <mergeCell ref="C36:E36"/>
  </mergeCells>
  <printOptions/>
  <pageMargins left="0.4724409448818898" right="0.2362204724409449" top="0.984251968503937" bottom="0.2755905511811024" header="0.5118110236220472" footer="0.1968503937007874"/>
  <pageSetup firstPageNumber="53" useFirstPageNumber="1" horizontalDpi="600" verticalDpi="600" orientation="portrait" paperSize="9" r:id="rId1"/>
  <headerFooter alignWithMargins="0">
    <oddHeader>&amp;C&amp;"Times New Roman,Bold"&amp;12 5.2 KENNITÖLUR SÉREIGNARDEILDA ÁRIÐ 2006</oddHeader>
    <oddFooter>&amp;R&amp;"Times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T3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L1" sqref="BL1"/>
      <selection pane="bottomLeft" activeCell="A4" sqref="A4"/>
      <selection pane="bottomRight" activeCell="B36" sqref="B36"/>
    </sheetView>
  </sheetViews>
  <sheetFormatPr defaultColWidth="13.57421875" defaultRowHeight="12.75" customHeight="1"/>
  <cols>
    <col min="1" max="1" width="4.00390625" style="52" customWidth="1"/>
    <col min="2" max="2" width="21.00390625" style="52" customWidth="1"/>
    <col min="3" max="22" width="9.28125" style="52" customWidth="1"/>
    <col min="23" max="35" width="9.00390625" style="52" customWidth="1"/>
    <col min="36" max="46" width="9.28125" style="52" customWidth="1"/>
    <col min="47" max="55" width="8.28125" style="52" customWidth="1"/>
    <col min="56" max="82" width="9.28125" style="52" customWidth="1"/>
    <col min="83" max="83" width="10.140625" style="52" customWidth="1"/>
    <col min="84" max="94" width="9.28125" style="52" customWidth="1"/>
    <col min="95" max="95" width="8.00390625" style="52" customWidth="1"/>
    <col min="96" max="96" width="10.57421875" style="49" customWidth="1"/>
    <col min="97" max="16384" width="13.57421875" style="52" customWidth="1"/>
  </cols>
  <sheetData>
    <row r="1" spans="3:95" ht="12.75" customHeight="1">
      <c r="C1" s="375" t="s">
        <v>438</v>
      </c>
      <c r="D1" s="375"/>
      <c r="E1" s="375"/>
      <c r="F1" s="375"/>
      <c r="G1" s="375"/>
      <c r="H1" s="375" t="s">
        <v>523</v>
      </c>
      <c r="I1" s="375"/>
      <c r="J1" s="375" t="s">
        <v>25</v>
      </c>
      <c r="K1" s="375"/>
      <c r="L1" s="375"/>
      <c r="M1" s="375"/>
      <c r="N1" s="375" t="s">
        <v>0</v>
      </c>
      <c r="O1" s="375"/>
      <c r="P1" s="375"/>
      <c r="Q1" s="375"/>
      <c r="R1" s="375"/>
      <c r="S1" s="375"/>
      <c r="T1" s="375"/>
      <c r="U1" s="375"/>
      <c r="V1" s="375"/>
      <c r="W1" s="375" t="s">
        <v>23</v>
      </c>
      <c r="X1" s="375"/>
      <c r="Y1" s="375"/>
      <c r="Z1" s="375"/>
      <c r="AA1" s="375"/>
      <c r="AB1" s="375"/>
      <c r="AC1" s="375"/>
      <c r="AD1" s="375" t="s">
        <v>33</v>
      </c>
      <c r="AE1" s="375"/>
      <c r="AF1" s="375"/>
      <c r="AG1" s="375"/>
      <c r="AH1" s="375"/>
      <c r="AI1" s="375"/>
      <c r="AJ1" s="375" t="s">
        <v>262</v>
      </c>
      <c r="AK1" s="375"/>
      <c r="AL1" s="375"/>
      <c r="AM1" s="375"/>
      <c r="AN1" s="375" t="s">
        <v>29</v>
      </c>
      <c r="AO1" s="375"/>
      <c r="AP1" s="375"/>
      <c r="AQ1" s="375" t="s">
        <v>452</v>
      </c>
      <c r="AR1" s="375"/>
      <c r="AS1" s="375" t="s">
        <v>24</v>
      </c>
      <c r="AT1" s="375"/>
      <c r="AU1" s="375" t="s">
        <v>3</v>
      </c>
      <c r="AV1" s="375"/>
      <c r="AW1" s="375" t="s">
        <v>27</v>
      </c>
      <c r="AX1" s="375"/>
      <c r="AY1" s="375" t="s">
        <v>31</v>
      </c>
      <c r="AZ1" s="375"/>
      <c r="BA1" s="375"/>
      <c r="BB1" s="375" t="s">
        <v>32</v>
      </c>
      <c r="BC1" s="375"/>
      <c r="BD1" s="375" t="s">
        <v>264</v>
      </c>
      <c r="BE1" s="375"/>
      <c r="BF1" s="375"/>
      <c r="BG1" s="375"/>
      <c r="BH1" s="375"/>
      <c r="BI1" s="375" t="s">
        <v>26</v>
      </c>
      <c r="BJ1" s="375"/>
      <c r="BK1" s="375"/>
      <c r="BL1" s="375"/>
      <c r="BM1" s="375"/>
      <c r="BN1" s="376" t="s">
        <v>165</v>
      </c>
      <c r="BO1" s="375" t="s">
        <v>265</v>
      </c>
      <c r="BP1" s="375"/>
      <c r="BQ1" s="375"/>
      <c r="BR1" s="376" t="s">
        <v>28</v>
      </c>
      <c r="BS1" s="376" t="s">
        <v>520</v>
      </c>
      <c r="BT1" s="376" t="s">
        <v>172</v>
      </c>
      <c r="BU1" s="376" t="s">
        <v>241</v>
      </c>
      <c r="BV1" s="376" t="s">
        <v>521</v>
      </c>
      <c r="BW1" s="376" t="s">
        <v>30</v>
      </c>
      <c r="BX1" s="375" t="s">
        <v>237</v>
      </c>
      <c r="BY1" s="375"/>
      <c r="BZ1" s="376" t="s">
        <v>164</v>
      </c>
      <c r="CA1" s="375" t="s">
        <v>522</v>
      </c>
      <c r="CB1" s="375"/>
      <c r="CC1" s="376" t="s">
        <v>171</v>
      </c>
      <c r="CD1" s="376" t="s">
        <v>168</v>
      </c>
      <c r="CE1" s="376" t="s">
        <v>160</v>
      </c>
      <c r="CF1" s="376" t="s">
        <v>499</v>
      </c>
      <c r="CG1" s="376" t="s">
        <v>163</v>
      </c>
      <c r="CH1" s="376" t="s">
        <v>4</v>
      </c>
      <c r="CI1" s="376" t="s">
        <v>161</v>
      </c>
      <c r="CJ1" s="376" t="s">
        <v>5</v>
      </c>
      <c r="CK1" s="376" t="s">
        <v>423</v>
      </c>
      <c r="CL1" s="376" t="s">
        <v>6</v>
      </c>
      <c r="CM1" s="376" t="s">
        <v>169</v>
      </c>
      <c r="CN1" s="376" t="s">
        <v>240</v>
      </c>
      <c r="CO1" s="376" t="s">
        <v>174</v>
      </c>
      <c r="CP1" s="376" t="s">
        <v>420</v>
      </c>
      <c r="CQ1" s="331"/>
    </row>
    <row r="2" spans="2:96" ht="12.75" customHeight="1">
      <c r="B2" s="52" t="s">
        <v>8</v>
      </c>
      <c r="W2" s="254"/>
      <c r="X2" s="254"/>
      <c r="Y2" s="254"/>
      <c r="Z2" s="254"/>
      <c r="AA2" s="254"/>
      <c r="AB2" s="254"/>
      <c r="AC2" s="254"/>
      <c r="BN2" s="376"/>
      <c r="BR2" s="376"/>
      <c r="BS2" s="376"/>
      <c r="BT2" s="376"/>
      <c r="BU2" s="376"/>
      <c r="BV2" s="376"/>
      <c r="BW2" s="376"/>
      <c r="BZ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31"/>
      <c r="CR2" s="13" t="s">
        <v>411</v>
      </c>
    </row>
    <row r="3" spans="66:96" ht="12.75" customHeight="1">
      <c r="BN3" s="376"/>
      <c r="BR3" s="376"/>
      <c r="BS3" s="376"/>
      <c r="BT3" s="376"/>
      <c r="BU3" s="376"/>
      <c r="BV3" s="376"/>
      <c r="BW3" s="376"/>
      <c r="BZ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31"/>
      <c r="CR3" s="13" t="s">
        <v>9</v>
      </c>
    </row>
    <row r="4" spans="3:96" ht="12.75" customHeight="1">
      <c r="C4" s="377" t="s">
        <v>544</v>
      </c>
      <c r="D4" s="377"/>
      <c r="E4" s="377"/>
      <c r="F4" s="377"/>
      <c r="G4" s="377"/>
      <c r="H4" s="377" t="s">
        <v>578</v>
      </c>
      <c r="I4" s="377"/>
      <c r="J4" s="377" t="s">
        <v>555</v>
      </c>
      <c r="K4" s="376"/>
      <c r="L4" s="376"/>
      <c r="M4" s="376"/>
      <c r="N4" s="377" t="s">
        <v>582</v>
      </c>
      <c r="O4" s="376"/>
      <c r="P4" s="376"/>
      <c r="Q4" s="376"/>
      <c r="R4" s="376"/>
      <c r="S4" s="376"/>
      <c r="T4" s="376"/>
      <c r="U4" s="376"/>
      <c r="V4" s="376"/>
      <c r="W4" s="363" t="s">
        <v>545</v>
      </c>
      <c r="X4" s="363"/>
      <c r="Y4" s="363"/>
      <c r="Z4" s="363"/>
      <c r="AA4" s="363"/>
      <c r="AB4" s="363"/>
      <c r="AC4" s="363"/>
      <c r="AD4" s="377" t="s">
        <v>584</v>
      </c>
      <c r="AE4" s="376"/>
      <c r="AF4" s="376"/>
      <c r="AG4" s="376"/>
      <c r="AH4" s="376"/>
      <c r="AI4" s="376"/>
      <c r="AJ4" s="377" t="s">
        <v>554</v>
      </c>
      <c r="AK4" s="376"/>
      <c r="AL4" s="376"/>
      <c r="AM4" s="376"/>
      <c r="AN4" s="377" t="s">
        <v>566</v>
      </c>
      <c r="AO4" s="377"/>
      <c r="AP4" s="377"/>
      <c r="AQ4" s="377" t="s">
        <v>583</v>
      </c>
      <c r="AR4" s="376"/>
      <c r="AS4" s="377" t="s">
        <v>553</v>
      </c>
      <c r="AT4" s="376"/>
      <c r="AU4" s="377" t="s">
        <v>560</v>
      </c>
      <c r="AV4" s="376"/>
      <c r="AW4" s="377" t="s">
        <v>558</v>
      </c>
      <c r="AX4" s="376"/>
      <c r="AY4" s="377" t="s">
        <v>577</v>
      </c>
      <c r="AZ4" s="377"/>
      <c r="BA4" s="377"/>
      <c r="BB4" s="377" t="s">
        <v>579</v>
      </c>
      <c r="BC4" s="376"/>
      <c r="BD4" s="377" t="s">
        <v>574</v>
      </c>
      <c r="BE4" s="377"/>
      <c r="BF4" s="377"/>
      <c r="BG4" s="377"/>
      <c r="BH4" s="377"/>
      <c r="BI4" s="377" t="s">
        <v>556</v>
      </c>
      <c r="BJ4" s="376"/>
      <c r="BK4" s="376"/>
      <c r="BL4" s="376"/>
      <c r="BM4" s="376"/>
      <c r="BN4" s="344" t="s">
        <v>563</v>
      </c>
      <c r="BO4" s="377" t="s">
        <v>580</v>
      </c>
      <c r="BP4" s="376"/>
      <c r="BQ4" s="376"/>
      <c r="BR4" s="344" t="s">
        <v>559</v>
      </c>
      <c r="BS4" s="344" t="s">
        <v>546</v>
      </c>
      <c r="BT4" s="344" t="s">
        <v>573</v>
      </c>
      <c r="BU4" s="344" t="s">
        <v>570</v>
      </c>
      <c r="BV4" s="344" t="s">
        <v>549</v>
      </c>
      <c r="BW4" s="344" t="s">
        <v>567</v>
      </c>
      <c r="BX4" s="377" t="s">
        <v>561</v>
      </c>
      <c r="BY4" s="376"/>
      <c r="BZ4" s="344" t="s">
        <v>562</v>
      </c>
      <c r="CA4" s="377" t="s">
        <v>576</v>
      </c>
      <c r="CB4" s="377"/>
      <c r="CC4" s="344" t="s">
        <v>572</v>
      </c>
      <c r="CD4" s="344" t="s">
        <v>569</v>
      </c>
      <c r="CE4" s="344" t="s">
        <v>550</v>
      </c>
      <c r="CF4" s="344" t="s">
        <v>564</v>
      </c>
      <c r="CG4" s="344" t="s">
        <v>557</v>
      </c>
      <c r="CH4" s="344" t="s">
        <v>547</v>
      </c>
      <c r="CI4" s="344" t="s">
        <v>551</v>
      </c>
      <c r="CJ4" s="344" t="s">
        <v>548</v>
      </c>
      <c r="CK4" s="344" t="s">
        <v>568</v>
      </c>
      <c r="CL4" s="344" t="s">
        <v>581</v>
      </c>
      <c r="CM4" s="344" t="s">
        <v>571</v>
      </c>
      <c r="CN4" s="344" t="s">
        <v>565</v>
      </c>
      <c r="CO4" s="344" t="s">
        <v>575</v>
      </c>
      <c r="CP4" s="344" t="s">
        <v>552</v>
      </c>
      <c r="CQ4" s="344"/>
      <c r="CR4" s="13" t="s">
        <v>12</v>
      </c>
    </row>
    <row r="5" spans="3:96" s="347" customFormat="1" ht="12.75" customHeight="1">
      <c r="C5" s="347" t="s">
        <v>14</v>
      </c>
      <c r="D5" s="347" t="s">
        <v>15</v>
      </c>
      <c r="E5" s="347" t="s">
        <v>283</v>
      </c>
      <c r="F5" s="347" t="s">
        <v>284</v>
      </c>
      <c r="G5" s="347" t="s">
        <v>285</v>
      </c>
      <c r="H5" s="347" t="s">
        <v>602</v>
      </c>
      <c r="I5" s="347" t="s">
        <v>603</v>
      </c>
      <c r="J5" s="347" t="s">
        <v>602</v>
      </c>
      <c r="K5" s="347" t="s">
        <v>274</v>
      </c>
      <c r="L5" s="347" t="s">
        <v>275</v>
      </c>
      <c r="M5" s="347" t="s">
        <v>276</v>
      </c>
      <c r="N5" s="347" t="s">
        <v>16</v>
      </c>
      <c r="O5" s="347" t="s">
        <v>177</v>
      </c>
      <c r="P5" s="347" t="s">
        <v>292</v>
      </c>
      <c r="Q5" s="347" t="s">
        <v>293</v>
      </c>
      <c r="R5" s="347" t="s">
        <v>287</v>
      </c>
      <c r="S5" s="347" t="s">
        <v>288</v>
      </c>
      <c r="T5" s="347" t="s">
        <v>289</v>
      </c>
      <c r="U5" s="347" t="s">
        <v>290</v>
      </c>
      <c r="V5" s="347" t="s">
        <v>291</v>
      </c>
      <c r="W5" s="347" t="s">
        <v>604</v>
      </c>
      <c r="X5" s="347" t="s">
        <v>35</v>
      </c>
      <c r="Y5" s="347" t="s">
        <v>605</v>
      </c>
      <c r="Z5" s="347" t="s">
        <v>267</v>
      </c>
      <c r="AA5" s="347" t="s">
        <v>268</v>
      </c>
      <c r="AB5" s="347" t="s">
        <v>269</v>
      </c>
      <c r="AC5" s="347" t="s">
        <v>270</v>
      </c>
      <c r="AD5" s="347" t="s">
        <v>602</v>
      </c>
      <c r="AE5" s="347" t="s">
        <v>283</v>
      </c>
      <c r="AF5" s="347" t="s">
        <v>284</v>
      </c>
      <c r="AG5" s="347" t="s">
        <v>285</v>
      </c>
      <c r="AH5" s="347" t="s">
        <v>294</v>
      </c>
      <c r="AI5" s="347" t="s">
        <v>295</v>
      </c>
      <c r="AJ5" s="347" t="s">
        <v>602</v>
      </c>
      <c r="AK5" s="347" t="s">
        <v>271</v>
      </c>
      <c r="AL5" s="347" t="s">
        <v>272</v>
      </c>
      <c r="AM5" s="347" t="s">
        <v>273</v>
      </c>
      <c r="AN5" s="347" t="s">
        <v>606</v>
      </c>
      <c r="AO5" s="347" t="s">
        <v>281</v>
      </c>
      <c r="AP5" s="347" t="s">
        <v>282</v>
      </c>
      <c r="AQ5" s="347" t="s">
        <v>602</v>
      </c>
      <c r="AR5" s="347" t="s">
        <v>603</v>
      </c>
      <c r="AS5" s="347" t="s">
        <v>602</v>
      </c>
      <c r="AT5" s="347" t="s">
        <v>603</v>
      </c>
      <c r="AU5" s="347" t="s">
        <v>607</v>
      </c>
      <c r="AV5" s="347" t="s">
        <v>16</v>
      </c>
      <c r="AW5" s="347" t="s">
        <v>606</v>
      </c>
      <c r="AX5" s="347" t="s">
        <v>18</v>
      </c>
      <c r="AY5" s="347" t="s">
        <v>602</v>
      </c>
      <c r="AZ5" s="347" t="s">
        <v>18</v>
      </c>
      <c r="BA5" s="347" t="s">
        <v>19</v>
      </c>
      <c r="BB5" s="347" t="s">
        <v>602</v>
      </c>
      <c r="BC5" s="347" t="s">
        <v>18</v>
      </c>
      <c r="BD5" s="347" t="s">
        <v>15</v>
      </c>
      <c r="BE5" s="347" t="s">
        <v>17</v>
      </c>
      <c r="BF5" s="347" t="s">
        <v>283</v>
      </c>
      <c r="BG5" s="347" t="s">
        <v>284</v>
      </c>
      <c r="BH5" s="347" t="s">
        <v>285</v>
      </c>
      <c r="BI5" s="347" t="s">
        <v>602</v>
      </c>
      <c r="BJ5" s="347" t="s">
        <v>277</v>
      </c>
      <c r="BK5" s="347" t="s">
        <v>278</v>
      </c>
      <c r="BL5" s="347" t="s">
        <v>279</v>
      </c>
      <c r="BM5" s="347" t="s">
        <v>280</v>
      </c>
      <c r="BN5" s="331"/>
      <c r="BO5" s="347" t="s">
        <v>602</v>
      </c>
      <c r="BP5" s="347" t="s">
        <v>281</v>
      </c>
      <c r="BQ5" s="347" t="s">
        <v>282</v>
      </c>
      <c r="BR5" s="331"/>
      <c r="BS5" s="331"/>
      <c r="BT5" s="331"/>
      <c r="BU5" s="331"/>
      <c r="BV5" s="331"/>
      <c r="BW5" s="331"/>
      <c r="BX5" s="347" t="s">
        <v>18</v>
      </c>
      <c r="BY5" s="347" t="s">
        <v>19</v>
      </c>
      <c r="BZ5" s="331"/>
      <c r="CA5" s="347" t="s">
        <v>602</v>
      </c>
      <c r="CB5" s="347" t="s">
        <v>603</v>
      </c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254"/>
    </row>
    <row r="6" spans="1:95" ht="12.75" customHeight="1">
      <c r="A6" s="49" t="s">
        <v>505</v>
      </c>
      <c r="BN6" s="255"/>
      <c r="BR6" s="255"/>
      <c r="BS6" s="255"/>
      <c r="BT6" s="255"/>
      <c r="BU6" s="255"/>
      <c r="BV6" s="255"/>
      <c r="BW6" s="255"/>
      <c r="BZ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</row>
    <row r="7" spans="2:96" ht="12.75" customHeight="1">
      <c r="B7" s="52" t="s">
        <v>506</v>
      </c>
      <c r="C7" s="52">
        <v>31249149.93</v>
      </c>
      <c r="D7" s="52">
        <v>12655405.778</v>
      </c>
      <c r="E7" s="52">
        <v>1236464.529</v>
      </c>
      <c r="F7" s="52">
        <v>583224.328</v>
      </c>
      <c r="G7" s="52">
        <v>0</v>
      </c>
      <c r="H7" s="52">
        <v>28479392</v>
      </c>
      <c r="I7" s="52">
        <v>676713</v>
      </c>
      <c r="J7" s="52">
        <v>51091138</v>
      </c>
      <c r="K7" s="52">
        <v>237984</v>
      </c>
      <c r="L7" s="52">
        <v>457424.644</v>
      </c>
      <c r="M7" s="52">
        <v>0</v>
      </c>
      <c r="N7" s="52">
        <v>14699077</v>
      </c>
      <c r="O7" s="52">
        <v>1266727</v>
      </c>
      <c r="P7" s="52">
        <v>46504</v>
      </c>
      <c r="Q7" s="52">
        <v>501446</v>
      </c>
      <c r="R7" s="52">
        <v>8847</v>
      </c>
      <c r="S7" s="52">
        <v>14465</v>
      </c>
      <c r="T7" s="52">
        <v>9982</v>
      </c>
      <c r="U7" s="52">
        <v>15363</v>
      </c>
      <c r="V7" s="52">
        <v>1136</v>
      </c>
      <c r="W7" s="52">
        <v>924200</v>
      </c>
      <c r="X7" s="52">
        <v>340855</v>
      </c>
      <c r="Y7" s="52">
        <v>0</v>
      </c>
      <c r="Z7" s="52">
        <v>1711566</v>
      </c>
      <c r="AA7" s="52">
        <v>6799205</v>
      </c>
      <c r="AB7" s="52">
        <v>920002</v>
      </c>
      <c r="AC7" s="52">
        <v>24809</v>
      </c>
      <c r="AD7" s="52">
        <v>10731234</v>
      </c>
      <c r="AE7" s="52">
        <v>0</v>
      </c>
      <c r="AF7" s="52">
        <v>20081</v>
      </c>
      <c r="AG7" s="52">
        <v>3104</v>
      </c>
      <c r="AH7" s="52">
        <v>0</v>
      </c>
      <c r="AI7" s="52">
        <v>312948</v>
      </c>
      <c r="AJ7" s="52">
        <v>3929481</v>
      </c>
      <c r="AK7" s="52">
        <v>13483269</v>
      </c>
      <c r="AL7" s="52">
        <v>1327158</v>
      </c>
      <c r="AM7" s="52">
        <v>1939699</v>
      </c>
      <c r="AN7" s="52">
        <v>16342324</v>
      </c>
      <c r="AO7" s="52">
        <v>311339</v>
      </c>
      <c r="AP7" s="52">
        <v>796374</v>
      </c>
      <c r="AQ7" s="52">
        <v>20043362</v>
      </c>
      <c r="AR7" s="52">
        <v>158646</v>
      </c>
      <c r="AS7" s="52">
        <v>12461947.572</v>
      </c>
      <c r="AT7" s="52">
        <v>14172</v>
      </c>
      <c r="AU7" s="52">
        <v>11909232.485815592</v>
      </c>
      <c r="AV7" s="52">
        <v>2801292.8260443867</v>
      </c>
      <c r="AW7" s="52">
        <v>8239892</v>
      </c>
      <c r="AX7" s="52">
        <v>37081</v>
      </c>
      <c r="AY7" s="52">
        <v>1099578.146295</v>
      </c>
      <c r="AZ7" s="52">
        <v>480907.2686276897</v>
      </c>
      <c r="BA7" s="52">
        <v>678.9392967196077</v>
      </c>
      <c r="BB7" s="52">
        <v>4865386</v>
      </c>
      <c r="BC7" s="52">
        <v>154304</v>
      </c>
      <c r="BD7" s="52">
        <v>4612357</v>
      </c>
      <c r="BE7" s="52">
        <v>413640</v>
      </c>
      <c r="BF7" s="52">
        <v>232795</v>
      </c>
      <c r="BG7" s="52">
        <v>60873</v>
      </c>
      <c r="BH7" s="52">
        <v>0</v>
      </c>
      <c r="BI7" s="52">
        <v>359734</v>
      </c>
      <c r="BJ7" s="52">
        <v>1031046</v>
      </c>
      <c r="BK7" s="52">
        <v>847445</v>
      </c>
      <c r="BL7" s="52">
        <v>693559</v>
      </c>
      <c r="BM7" s="52">
        <v>0</v>
      </c>
      <c r="BN7" s="52">
        <v>3551968.838</v>
      </c>
      <c r="BO7" s="52">
        <v>5609621.714</v>
      </c>
      <c r="BP7" s="52">
        <v>22527.184</v>
      </c>
      <c r="BQ7" s="52">
        <v>47432.681</v>
      </c>
      <c r="BR7" s="52">
        <v>5867793</v>
      </c>
      <c r="BS7" s="52">
        <v>1457777</v>
      </c>
      <c r="BT7" s="52">
        <v>5271373</v>
      </c>
      <c r="BU7" s="52">
        <v>6830924</v>
      </c>
      <c r="BV7" s="52">
        <v>3212266</v>
      </c>
      <c r="BW7" s="52">
        <v>772820.74</v>
      </c>
      <c r="BX7" s="52">
        <v>871648</v>
      </c>
      <c r="BY7" s="52">
        <v>18714</v>
      </c>
      <c r="BZ7" s="52">
        <v>557300</v>
      </c>
      <c r="CA7" s="52">
        <v>53368</v>
      </c>
      <c r="CB7" s="52">
        <v>371384</v>
      </c>
      <c r="CC7" s="52">
        <v>332135</v>
      </c>
      <c r="CD7" s="52">
        <v>568846</v>
      </c>
      <c r="CE7" s="52">
        <v>282326</v>
      </c>
      <c r="CF7" s="52">
        <v>390103</v>
      </c>
      <c r="CG7" s="52">
        <v>231222</v>
      </c>
      <c r="CH7" s="52">
        <v>314546</v>
      </c>
      <c r="CI7" s="52">
        <v>195230</v>
      </c>
      <c r="CJ7" s="52">
        <v>4160</v>
      </c>
      <c r="CK7" s="52">
        <v>118755</v>
      </c>
      <c r="CL7" s="52">
        <v>55100</v>
      </c>
      <c r="CM7" s="52">
        <v>214912</v>
      </c>
      <c r="CN7" s="52">
        <v>228204</v>
      </c>
      <c r="CO7" s="52">
        <v>475</v>
      </c>
      <c r="CP7" s="52">
        <v>15002</v>
      </c>
      <c r="CR7" s="49">
        <f>SUM(C7:CP7)</f>
        <v>311133954.6040794</v>
      </c>
    </row>
    <row r="8" spans="1:96" ht="12.75" customHeight="1">
      <c r="A8" s="52" t="s">
        <v>467</v>
      </c>
      <c r="B8" s="52" t="s">
        <v>507</v>
      </c>
      <c r="C8" s="52">
        <v>6497400.376</v>
      </c>
      <c r="D8" s="52">
        <v>3437194.019</v>
      </c>
      <c r="E8" s="52">
        <v>5879.12</v>
      </c>
      <c r="F8" s="52">
        <v>2051.249</v>
      </c>
      <c r="G8" s="52">
        <v>0</v>
      </c>
      <c r="H8" s="52">
        <v>720135</v>
      </c>
      <c r="I8" s="52">
        <v>17111</v>
      </c>
      <c r="J8" s="52">
        <v>5189931.88</v>
      </c>
      <c r="K8" s="52">
        <v>30003</v>
      </c>
      <c r="L8" s="52">
        <v>60743.8</v>
      </c>
      <c r="M8" s="52">
        <v>0</v>
      </c>
      <c r="N8" s="52">
        <v>1038125</v>
      </c>
      <c r="O8" s="52">
        <v>89463</v>
      </c>
      <c r="P8" s="52">
        <v>7159</v>
      </c>
      <c r="Q8" s="52">
        <v>77196</v>
      </c>
      <c r="R8" s="52">
        <v>1362</v>
      </c>
      <c r="S8" s="52">
        <v>2227</v>
      </c>
      <c r="T8" s="52">
        <v>1537</v>
      </c>
      <c r="U8" s="52">
        <v>2365</v>
      </c>
      <c r="V8" s="52">
        <v>175</v>
      </c>
      <c r="W8" s="52">
        <v>271416</v>
      </c>
      <c r="X8" s="52">
        <v>395711</v>
      </c>
      <c r="Y8" s="52">
        <v>0</v>
      </c>
      <c r="Z8" s="52">
        <v>332486</v>
      </c>
      <c r="AA8" s="52">
        <v>1031068</v>
      </c>
      <c r="AB8" s="52">
        <v>360459</v>
      </c>
      <c r="AC8" s="52">
        <v>1683</v>
      </c>
      <c r="AD8" s="52">
        <v>795388</v>
      </c>
      <c r="AE8" s="52">
        <v>0</v>
      </c>
      <c r="AF8" s="52">
        <v>0</v>
      </c>
      <c r="AG8" s="52">
        <v>0</v>
      </c>
      <c r="AH8" s="52">
        <v>0</v>
      </c>
      <c r="AI8" s="52">
        <v>23195</v>
      </c>
      <c r="AJ8" s="52">
        <v>8259</v>
      </c>
      <c r="AK8" s="52">
        <v>77726</v>
      </c>
      <c r="AL8" s="52">
        <v>4415</v>
      </c>
      <c r="AM8" s="52">
        <v>28722</v>
      </c>
      <c r="AN8" s="52">
        <v>919925</v>
      </c>
      <c r="AO8" s="52">
        <v>0</v>
      </c>
      <c r="AP8" s="52">
        <v>0</v>
      </c>
      <c r="AQ8" s="52">
        <v>1047824</v>
      </c>
      <c r="AR8" s="52">
        <v>0</v>
      </c>
      <c r="AS8" s="52">
        <v>1325745.806</v>
      </c>
      <c r="AT8" s="52">
        <v>1659</v>
      </c>
      <c r="AU8" s="52">
        <v>29857.957809160314</v>
      </c>
      <c r="AV8" s="52">
        <v>4797.751475748689</v>
      </c>
      <c r="AW8" s="52">
        <v>77619</v>
      </c>
      <c r="AX8" s="52">
        <v>214</v>
      </c>
      <c r="AY8" s="52">
        <v>40932.53</v>
      </c>
      <c r="AZ8" s="52">
        <v>0</v>
      </c>
      <c r="BA8" s="52">
        <v>0</v>
      </c>
      <c r="BB8" s="52">
        <v>949301</v>
      </c>
      <c r="BC8" s="52">
        <v>0</v>
      </c>
      <c r="BD8" s="52">
        <v>234568</v>
      </c>
      <c r="BE8" s="52">
        <v>21036</v>
      </c>
      <c r="BF8" s="52">
        <v>6477</v>
      </c>
      <c r="BG8" s="52">
        <v>0</v>
      </c>
      <c r="BH8" s="52">
        <v>0</v>
      </c>
      <c r="BI8" s="52">
        <v>3224</v>
      </c>
      <c r="BJ8" s="52">
        <v>9662</v>
      </c>
      <c r="BK8" s="52">
        <v>14178</v>
      </c>
      <c r="BL8" s="52">
        <v>7761</v>
      </c>
      <c r="BM8" s="52">
        <v>0</v>
      </c>
      <c r="BN8" s="52">
        <v>902747.683</v>
      </c>
      <c r="BO8" s="52">
        <v>512688.36</v>
      </c>
      <c r="BP8" s="52">
        <v>0</v>
      </c>
      <c r="BQ8" s="52">
        <v>0</v>
      </c>
      <c r="BR8" s="52">
        <v>186994</v>
      </c>
      <c r="BS8" s="52">
        <v>63492</v>
      </c>
      <c r="BT8" s="52">
        <v>149685</v>
      </c>
      <c r="BU8" s="52">
        <v>19829</v>
      </c>
      <c r="BV8" s="52">
        <v>550751</v>
      </c>
      <c r="BW8" s="52">
        <v>845</v>
      </c>
      <c r="BX8" s="52">
        <v>52052</v>
      </c>
      <c r="BY8" s="52">
        <v>456</v>
      </c>
      <c r="BZ8" s="52">
        <v>20286</v>
      </c>
      <c r="CA8" s="52">
        <v>480</v>
      </c>
      <c r="CB8" s="52">
        <v>3476</v>
      </c>
      <c r="CC8" s="52">
        <v>10322.7</v>
      </c>
      <c r="CD8" s="52">
        <v>119527</v>
      </c>
      <c r="CE8" s="52">
        <v>15712</v>
      </c>
      <c r="CF8" s="52">
        <v>2833</v>
      </c>
      <c r="CG8" s="52">
        <v>2163</v>
      </c>
      <c r="CH8" s="52">
        <v>86</v>
      </c>
      <c r="CI8" s="52">
        <v>1205</v>
      </c>
      <c r="CJ8" s="52">
        <v>0</v>
      </c>
      <c r="CK8" s="52">
        <v>1024</v>
      </c>
      <c r="CL8" s="52">
        <v>43153</v>
      </c>
      <c r="CM8" s="52">
        <v>14995</v>
      </c>
      <c r="CN8" s="52">
        <v>0</v>
      </c>
      <c r="CO8" s="52">
        <v>0</v>
      </c>
      <c r="CP8" s="52">
        <v>0</v>
      </c>
      <c r="CR8" s="49">
        <f>SUM(C8:CP8)</f>
        <v>27880171.232284907</v>
      </c>
    </row>
    <row r="9" spans="1:96" ht="12.75" customHeight="1">
      <c r="A9" s="52" t="s">
        <v>467</v>
      </c>
      <c r="B9" s="52" t="s">
        <v>508</v>
      </c>
      <c r="C9" s="52">
        <v>16207519.457</v>
      </c>
      <c r="D9" s="52">
        <v>9066176.702</v>
      </c>
      <c r="E9" s="52">
        <v>459462.525</v>
      </c>
      <c r="F9" s="52">
        <v>192753.511</v>
      </c>
      <c r="G9" s="52">
        <v>0</v>
      </c>
      <c r="H9" s="52">
        <v>14527021</v>
      </c>
      <c r="I9" s="52">
        <v>345184</v>
      </c>
      <c r="J9" s="52">
        <v>15311326</v>
      </c>
      <c r="K9" s="52">
        <v>60420</v>
      </c>
      <c r="L9" s="52">
        <v>93529.6</v>
      </c>
      <c r="M9" s="52">
        <v>0</v>
      </c>
      <c r="N9" s="52">
        <v>3707061</v>
      </c>
      <c r="O9" s="52">
        <v>319465</v>
      </c>
      <c r="P9" s="52">
        <v>44820</v>
      </c>
      <c r="Q9" s="52">
        <v>483284</v>
      </c>
      <c r="R9" s="52">
        <v>8526</v>
      </c>
      <c r="S9" s="52">
        <v>13941</v>
      </c>
      <c r="T9" s="52">
        <v>9621</v>
      </c>
      <c r="U9" s="52">
        <v>14806</v>
      </c>
      <c r="V9" s="52">
        <v>1095</v>
      </c>
      <c r="W9" s="52">
        <v>810238</v>
      </c>
      <c r="X9" s="52">
        <v>1027507</v>
      </c>
      <c r="Y9" s="52">
        <v>0</v>
      </c>
      <c r="Z9" s="52">
        <v>2675448</v>
      </c>
      <c r="AA9" s="52">
        <v>3803416</v>
      </c>
      <c r="AB9" s="52">
        <v>1544157</v>
      </c>
      <c r="AC9" s="52">
        <v>285697</v>
      </c>
      <c r="AD9" s="52">
        <v>3903152</v>
      </c>
      <c r="AE9" s="52">
        <v>0</v>
      </c>
      <c r="AF9" s="52">
        <v>0</v>
      </c>
      <c r="AG9" s="52">
        <v>0</v>
      </c>
      <c r="AH9" s="52">
        <v>0</v>
      </c>
      <c r="AI9" s="52">
        <v>113825</v>
      </c>
      <c r="AJ9" s="52">
        <v>425777</v>
      </c>
      <c r="AK9" s="52">
        <v>1776820</v>
      </c>
      <c r="AL9" s="52">
        <v>291518</v>
      </c>
      <c r="AM9" s="52">
        <v>1434570</v>
      </c>
      <c r="AN9" s="52">
        <v>3849959</v>
      </c>
      <c r="AO9" s="52">
        <v>0</v>
      </c>
      <c r="AP9" s="52">
        <v>0</v>
      </c>
      <c r="AQ9" s="52">
        <v>4392722</v>
      </c>
      <c r="AR9" s="52">
        <v>0</v>
      </c>
      <c r="AS9" s="52">
        <v>5554301.317000001</v>
      </c>
      <c r="AT9" s="52">
        <v>12188</v>
      </c>
      <c r="AU9" s="52">
        <v>1761469.2697743434</v>
      </c>
      <c r="AV9" s="52">
        <v>681779.3734922614</v>
      </c>
      <c r="AW9" s="52">
        <v>1689290</v>
      </c>
      <c r="AX9" s="52">
        <v>1958</v>
      </c>
      <c r="AY9" s="52">
        <v>3229096.26606</v>
      </c>
      <c r="AZ9" s="52">
        <v>171606.89890532085</v>
      </c>
      <c r="BA9" s="52">
        <v>2630.3766965742907</v>
      </c>
      <c r="BB9" s="52">
        <v>2318823</v>
      </c>
      <c r="BC9" s="52">
        <v>0</v>
      </c>
      <c r="BD9" s="52">
        <v>2383638</v>
      </c>
      <c r="BE9" s="52">
        <v>213767</v>
      </c>
      <c r="BF9" s="52">
        <v>15398</v>
      </c>
      <c r="BG9" s="52">
        <v>3485</v>
      </c>
      <c r="BH9" s="52">
        <v>0</v>
      </c>
      <c r="BI9" s="52">
        <v>268459</v>
      </c>
      <c r="BJ9" s="52">
        <v>690092</v>
      </c>
      <c r="BK9" s="52">
        <v>722860</v>
      </c>
      <c r="BL9" s="52">
        <v>488308</v>
      </c>
      <c r="BM9" s="52">
        <v>0</v>
      </c>
      <c r="BN9" s="52">
        <v>2120906.729</v>
      </c>
      <c r="BO9" s="52">
        <v>1388513.974</v>
      </c>
      <c r="BP9" s="52">
        <v>0</v>
      </c>
      <c r="BQ9" s="52">
        <v>0</v>
      </c>
      <c r="BR9" s="52">
        <v>1977021</v>
      </c>
      <c r="BS9" s="52">
        <v>1171992</v>
      </c>
      <c r="BT9" s="52">
        <v>697242</v>
      </c>
      <c r="BU9" s="52">
        <v>806968</v>
      </c>
      <c r="BV9" s="52">
        <v>762073</v>
      </c>
      <c r="BW9" s="52">
        <v>206533.856</v>
      </c>
      <c r="BX9" s="52">
        <v>449144</v>
      </c>
      <c r="BY9" s="52">
        <v>33457</v>
      </c>
      <c r="BZ9" s="52">
        <v>318836</v>
      </c>
      <c r="CA9" s="52">
        <v>39628</v>
      </c>
      <c r="CB9" s="52">
        <v>206541</v>
      </c>
      <c r="CC9" s="52">
        <v>423634.3</v>
      </c>
      <c r="CD9" s="52">
        <v>126009</v>
      </c>
      <c r="CE9" s="52">
        <v>235932</v>
      </c>
      <c r="CF9" s="52">
        <v>225063</v>
      </c>
      <c r="CG9" s="52">
        <v>128262</v>
      </c>
      <c r="CH9" s="52">
        <v>19167</v>
      </c>
      <c r="CI9" s="52">
        <v>82634</v>
      </c>
      <c r="CJ9" s="52">
        <v>35025</v>
      </c>
      <c r="CK9" s="52">
        <v>69702</v>
      </c>
      <c r="CL9" s="52">
        <v>227765</v>
      </c>
      <c r="CM9" s="52">
        <v>35168</v>
      </c>
      <c r="CN9" s="52">
        <v>15813</v>
      </c>
      <c r="CO9" s="52">
        <v>0</v>
      </c>
      <c r="CP9" s="52">
        <v>0</v>
      </c>
      <c r="CR9" s="49">
        <f>SUM(C9:CP9)</f>
        <v>119212998.1559285</v>
      </c>
    </row>
    <row r="10" spans="1:96" ht="12.75" customHeight="1">
      <c r="A10" s="52" t="s">
        <v>467</v>
      </c>
      <c r="B10" s="52" t="s">
        <v>509</v>
      </c>
      <c r="C10" s="52">
        <v>874381.062</v>
      </c>
      <c r="D10" s="52">
        <v>460753.913</v>
      </c>
      <c r="E10" s="52">
        <v>6132.75</v>
      </c>
      <c r="F10" s="52">
        <v>943.5</v>
      </c>
      <c r="G10" s="52">
        <v>0</v>
      </c>
      <c r="H10" s="52">
        <v>3772453</v>
      </c>
      <c r="I10" s="52">
        <v>89639</v>
      </c>
      <c r="J10" s="52">
        <v>39793438.9</v>
      </c>
      <c r="K10" s="52">
        <v>207618.872</v>
      </c>
      <c r="L10" s="52">
        <v>193763.623</v>
      </c>
      <c r="M10" s="52">
        <v>0</v>
      </c>
      <c r="N10" s="52">
        <v>812642</v>
      </c>
      <c r="O10" s="52">
        <v>70031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3776911</v>
      </c>
      <c r="AE10" s="52">
        <v>0</v>
      </c>
      <c r="AF10" s="52">
        <v>0</v>
      </c>
      <c r="AG10" s="52">
        <v>3864</v>
      </c>
      <c r="AH10" s="52">
        <v>2799</v>
      </c>
      <c r="AI10" s="52">
        <v>110144</v>
      </c>
      <c r="AJ10" s="52">
        <v>453935</v>
      </c>
      <c r="AK10" s="52">
        <v>1962299</v>
      </c>
      <c r="AL10" s="52">
        <v>113935</v>
      </c>
      <c r="AM10" s="52">
        <v>0</v>
      </c>
      <c r="AN10" s="52">
        <v>3073905</v>
      </c>
      <c r="AO10" s="52">
        <v>0</v>
      </c>
      <c r="AP10" s="52">
        <v>0</v>
      </c>
      <c r="AQ10" s="52">
        <v>906393</v>
      </c>
      <c r="AR10" s="52">
        <v>0</v>
      </c>
      <c r="AS10" s="52">
        <v>425910.484</v>
      </c>
      <c r="AT10" s="52">
        <v>0</v>
      </c>
      <c r="AU10" s="52">
        <v>100500</v>
      </c>
      <c r="AV10" s="52">
        <v>62300</v>
      </c>
      <c r="AW10" s="52">
        <v>1606268</v>
      </c>
      <c r="AX10" s="52">
        <v>0</v>
      </c>
      <c r="AY10" s="52">
        <v>524903.104</v>
      </c>
      <c r="AZ10" s="52">
        <v>0</v>
      </c>
      <c r="BA10" s="52">
        <v>0</v>
      </c>
      <c r="BB10" s="52">
        <v>55345</v>
      </c>
      <c r="BC10" s="52">
        <v>0</v>
      </c>
      <c r="BD10" s="52">
        <v>951761</v>
      </c>
      <c r="BE10" s="52">
        <v>85355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113879.115</v>
      </c>
      <c r="BO10" s="52">
        <v>163590.757</v>
      </c>
      <c r="BP10" s="52">
        <v>0</v>
      </c>
      <c r="BQ10" s="52">
        <v>0</v>
      </c>
      <c r="BR10" s="52">
        <v>14928</v>
      </c>
      <c r="BS10" s="52">
        <v>5071136</v>
      </c>
      <c r="BT10" s="52">
        <v>38916</v>
      </c>
      <c r="BU10" s="52">
        <v>60527</v>
      </c>
      <c r="BV10" s="52">
        <v>0</v>
      </c>
      <c r="BW10" s="52">
        <v>8654</v>
      </c>
      <c r="BX10" s="52">
        <v>0</v>
      </c>
      <c r="BY10" s="52">
        <v>0</v>
      </c>
      <c r="BZ10" s="52">
        <v>540760</v>
      </c>
      <c r="CA10" s="52">
        <v>0</v>
      </c>
      <c r="CB10" s="52">
        <v>0</v>
      </c>
      <c r="CC10" s="52">
        <v>620034.4</v>
      </c>
      <c r="CD10" s="52">
        <v>0</v>
      </c>
      <c r="CE10" s="52">
        <v>0</v>
      </c>
      <c r="CF10" s="52">
        <v>0</v>
      </c>
      <c r="CG10" s="52">
        <v>0</v>
      </c>
      <c r="CH10" s="52">
        <v>8770</v>
      </c>
      <c r="CI10" s="52">
        <v>0</v>
      </c>
      <c r="CJ10" s="52">
        <v>0</v>
      </c>
      <c r="CK10" s="52">
        <v>0</v>
      </c>
      <c r="CL10" s="52">
        <v>25609</v>
      </c>
      <c r="CM10" s="52">
        <v>0</v>
      </c>
      <c r="CN10" s="52">
        <v>0</v>
      </c>
      <c r="CO10" s="52">
        <v>0</v>
      </c>
      <c r="CP10" s="52">
        <v>0</v>
      </c>
      <c r="CR10" s="49">
        <f>SUM(C10:CP10)</f>
        <v>67165129.48</v>
      </c>
    </row>
    <row r="11" spans="1:96" ht="12.75" customHeight="1">
      <c r="A11" s="52" t="s">
        <v>467</v>
      </c>
      <c r="B11" s="52" t="s">
        <v>510</v>
      </c>
      <c r="C11" s="52">
        <v>17011520.567</v>
      </c>
      <c r="D11" s="52">
        <v>8566042.978</v>
      </c>
      <c r="E11" s="52">
        <v>332996.68700000003</v>
      </c>
      <c r="F11" s="52">
        <v>125369.94099999999</v>
      </c>
      <c r="G11" s="52">
        <v>0</v>
      </c>
      <c r="H11" s="52">
        <v>23070605</v>
      </c>
      <c r="I11" s="52">
        <v>548192</v>
      </c>
      <c r="J11" s="52">
        <v>17171671</v>
      </c>
      <c r="K11" s="52">
        <v>47241.165</v>
      </c>
      <c r="L11" s="52">
        <v>170928.663</v>
      </c>
      <c r="M11" s="52">
        <v>0</v>
      </c>
      <c r="N11" s="52">
        <v>9789190</v>
      </c>
      <c r="O11" s="52">
        <v>843606</v>
      </c>
      <c r="P11" s="52">
        <v>68717</v>
      </c>
      <c r="Q11" s="52">
        <v>740957</v>
      </c>
      <c r="R11" s="52">
        <v>13072</v>
      </c>
      <c r="S11" s="52">
        <v>21375</v>
      </c>
      <c r="T11" s="52">
        <v>14750</v>
      </c>
      <c r="U11" s="52">
        <v>22699</v>
      </c>
      <c r="V11" s="52">
        <v>1678</v>
      </c>
      <c r="W11" s="52">
        <v>1256371</v>
      </c>
      <c r="X11" s="52">
        <v>1879359</v>
      </c>
      <c r="Y11" s="52">
        <v>0</v>
      </c>
      <c r="Z11" s="52">
        <v>1216624</v>
      </c>
      <c r="AA11" s="52">
        <v>5190657</v>
      </c>
      <c r="AB11" s="52">
        <v>2592619</v>
      </c>
      <c r="AC11" s="52">
        <v>325287</v>
      </c>
      <c r="AD11" s="52">
        <v>12369238</v>
      </c>
      <c r="AE11" s="52">
        <v>0</v>
      </c>
      <c r="AF11" s="52">
        <v>209937</v>
      </c>
      <c r="AG11" s="52">
        <v>35217</v>
      </c>
      <c r="AH11" s="52">
        <v>67033</v>
      </c>
      <c r="AI11" s="52">
        <v>360745</v>
      </c>
      <c r="AJ11" s="52">
        <v>646627</v>
      </c>
      <c r="AK11" s="52">
        <v>3817724</v>
      </c>
      <c r="AL11" s="52">
        <v>323983</v>
      </c>
      <c r="AM11" s="52">
        <v>377147</v>
      </c>
      <c r="AN11" s="52">
        <v>7382035</v>
      </c>
      <c r="AO11" s="52">
        <v>0</v>
      </c>
      <c r="AP11" s="52">
        <v>0</v>
      </c>
      <c r="AQ11" s="52">
        <v>3457657</v>
      </c>
      <c r="AR11" s="52">
        <v>22725</v>
      </c>
      <c r="AS11" s="52">
        <v>6294301.029999998</v>
      </c>
      <c r="AT11" s="52">
        <v>19950</v>
      </c>
      <c r="AU11" s="52">
        <v>3408478.314174452</v>
      </c>
      <c r="AV11" s="52">
        <v>1323799.1182734668</v>
      </c>
      <c r="AW11" s="52">
        <v>3045173</v>
      </c>
      <c r="AX11" s="52">
        <v>3587</v>
      </c>
      <c r="AY11" s="52">
        <v>4774757.826644999</v>
      </c>
      <c r="AZ11" s="52">
        <v>694339.6359836529</v>
      </c>
      <c r="BA11" s="52">
        <v>11366.797875976548</v>
      </c>
      <c r="BB11" s="52">
        <v>2602937</v>
      </c>
      <c r="BC11" s="52">
        <v>0</v>
      </c>
      <c r="BD11" s="52">
        <v>1634524</v>
      </c>
      <c r="BE11" s="52">
        <v>146585</v>
      </c>
      <c r="BF11" s="52">
        <v>33916</v>
      </c>
      <c r="BG11" s="52">
        <v>1063</v>
      </c>
      <c r="BH11" s="52">
        <v>0</v>
      </c>
      <c r="BI11" s="52">
        <v>771382</v>
      </c>
      <c r="BJ11" s="52">
        <v>2172628</v>
      </c>
      <c r="BK11" s="52">
        <v>1762696</v>
      </c>
      <c r="BL11" s="52">
        <v>1715709</v>
      </c>
      <c r="BM11" s="52">
        <v>0</v>
      </c>
      <c r="BN11" s="52">
        <v>2147585.424</v>
      </c>
      <c r="BO11" s="52">
        <v>1842413.083</v>
      </c>
      <c r="BP11" s="52">
        <v>0</v>
      </c>
      <c r="BQ11" s="52">
        <v>0</v>
      </c>
      <c r="BR11" s="52">
        <v>3036063</v>
      </c>
      <c r="BS11" s="52">
        <v>3419900</v>
      </c>
      <c r="BT11" s="52">
        <v>954404</v>
      </c>
      <c r="BU11" s="52">
        <v>249435</v>
      </c>
      <c r="BV11" s="52">
        <v>1913667</v>
      </c>
      <c r="BW11" s="52">
        <v>720359.404</v>
      </c>
      <c r="BX11" s="52">
        <v>1176430</v>
      </c>
      <c r="BY11" s="52">
        <v>69923</v>
      </c>
      <c r="BZ11" s="52">
        <v>1158990</v>
      </c>
      <c r="CA11" s="52">
        <v>102262</v>
      </c>
      <c r="CB11" s="52">
        <v>656664</v>
      </c>
      <c r="CC11" s="52">
        <v>317353.4</v>
      </c>
      <c r="CD11" s="52">
        <v>200009</v>
      </c>
      <c r="CE11" s="52">
        <v>303201</v>
      </c>
      <c r="CF11" s="52">
        <v>638371</v>
      </c>
      <c r="CG11" s="52">
        <v>344517</v>
      </c>
      <c r="CH11" s="52">
        <v>9469</v>
      </c>
      <c r="CI11" s="52">
        <v>250353</v>
      </c>
      <c r="CJ11" s="52">
        <v>4001</v>
      </c>
      <c r="CK11" s="52">
        <v>191608</v>
      </c>
      <c r="CL11" s="52">
        <v>44802</v>
      </c>
      <c r="CM11" s="52">
        <v>124967</v>
      </c>
      <c r="CN11" s="52">
        <v>65400</v>
      </c>
      <c r="CO11" s="52">
        <v>0</v>
      </c>
      <c r="CP11" s="52">
        <v>0</v>
      </c>
      <c r="CR11" s="49">
        <f>SUM(C11:CP11)</f>
        <v>170450937.03495255</v>
      </c>
    </row>
    <row r="12" spans="2:98" s="49" customFormat="1" ht="12.75" customHeight="1">
      <c r="B12" s="256" t="s">
        <v>511</v>
      </c>
      <c r="C12" s="49">
        <f aca="true" t="shared" si="0" ref="C12:AH12">SUM(C7:C11)</f>
        <v>71839971.392</v>
      </c>
      <c r="D12" s="49">
        <f t="shared" si="0"/>
        <v>34185573.39</v>
      </c>
      <c r="E12" s="49">
        <f t="shared" si="0"/>
        <v>2040935.611</v>
      </c>
      <c r="F12" s="49">
        <f t="shared" si="0"/>
        <v>904342.529</v>
      </c>
      <c r="G12" s="49">
        <f t="shared" si="0"/>
        <v>0</v>
      </c>
      <c r="H12" s="49">
        <f t="shared" si="0"/>
        <v>70569606</v>
      </c>
      <c r="I12" s="49">
        <f t="shared" si="0"/>
        <v>1676839</v>
      </c>
      <c r="J12" s="49">
        <f t="shared" si="0"/>
        <v>128557505.78</v>
      </c>
      <c r="K12" s="49">
        <f t="shared" si="0"/>
        <v>583267.037</v>
      </c>
      <c r="L12" s="49">
        <f t="shared" si="0"/>
        <v>976390.3300000001</v>
      </c>
      <c r="M12" s="49">
        <f t="shared" si="0"/>
        <v>0</v>
      </c>
      <c r="N12" s="49">
        <f t="shared" si="0"/>
        <v>30046095</v>
      </c>
      <c r="O12" s="49">
        <f t="shared" si="0"/>
        <v>2589292</v>
      </c>
      <c r="P12" s="49">
        <f t="shared" si="0"/>
        <v>167200</v>
      </c>
      <c r="Q12" s="49">
        <f t="shared" si="0"/>
        <v>1802883</v>
      </c>
      <c r="R12" s="49">
        <f t="shared" si="0"/>
        <v>31807</v>
      </c>
      <c r="S12" s="49">
        <f t="shared" si="0"/>
        <v>52008</v>
      </c>
      <c r="T12" s="49">
        <f t="shared" si="0"/>
        <v>35890</v>
      </c>
      <c r="U12" s="49">
        <f t="shared" si="0"/>
        <v>55233</v>
      </c>
      <c r="V12" s="49">
        <f t="shared" si="0"/>
        <v>4084</v>
      </c>
      <c r="W12" s="49">
        <f t="shared" si="0"/>
        <v>3262225</v>
      </c>
      <c r="X12" s="49">
        <f t="shared" si="0"/>
        <v>3643432</v>
      </c>
      <c r="Y12" s="49">
        <f>SUM(Y7:Y11)</f>
        <v>0</v>
      </c>
      <c r="Z12" s="49">
        <f t="shared" si="0"/>
        <v>5936124</v>
      </c>
      <c r="AA12" s="49">
        <f t="shared" si="0"/>
        <v>16824346</v>
      </c>
      <c r="AB12" s="49">
        <f t="shared" si="0"/>
        <v>5417237</v>
      </c>
      <c r="AC12" s="49">
        <f t="shared" si="0"/>
        <v>637476</v>
      </c>
      <c r="AD12" s="49">
        <f t="shared" si="0"/>
        <v>31575923</v>
      </c>
      <c r="AE12" s="49">
        <f t="shared" si="0"/>
        <v>0</v>
      </c>
      <c r="AF12" s="49">
        <f t="shared" si="0"/>
        <v>230018</v>
      </c>
      <c r="AG12" s="49">
        <f t="shared" si="0"/>
        <v>42185</v>
      </c>
      <c r="AH12" s="49">
        <f t="shared" si="0"/>
        <v>69832</v>
      </c>
      <c r="AI12" s="49">
        <f aca="true" t="shared" si="1" ref="AI12:BN12">SUM(AI7:AI11)</f>
        <v>920857</v>
      </c>
      <c r="AJ12" s="49">
        <f t="shared" si="1"/>
        <v>5464079</v>
      </c>
      <c r="AK12" s="49">
        <f t="shared" si="1"/>
        <v>21117838</v>
      </c>
      <c r="AL12" s="49">
        <f t="shared" si="1"/>
        <v>2061009</v>
      </c>
      <c r="AM12" s="49">
        <f t="shared" si="1"/>
        <v>3780138</v>
      </c>
      <c r="AN12" s="49">
        <f t="shared" si="1"/>
        <v>31568148</v>
      </c>
      <c r="AO12" s="49">
        <f t="shared" si="1"/>
        <v>311339</v>
      </c>
      <c r="AP12" s="49">
        <f t="shared" si="1"/>
        <v>796374</v>
      </c>
      <c r="AQ12" s="49">
        <f t="shared" si="1"/>
        <v>29847958</v>
      </c>
      <c r="AR12" s="49">
        <f t="shared" si="1"/>
        <v>181371</v>
      </c>
      <c r="AS12" s="49">
        <f t="shared" si="1"/>
        <v>26062206.209</v>
      </c>
      <c r="AT12" s="49">
        <f t="shared" si="1"/>
        <v>47969</v>
      </c>
      <c r="AU12" s="49">
        <f t="shared" si="1"/>
        <v>17209538.02757355</v>
      </c>
      <c r="AV12" s="49">
        <f t="shared" si="1"/>
        <v>4873969.069285864</v>
      </c>
      <c r="AW12" s="49">
        <f t="shared" si="1"/>
        <v>14658242</v>
      </c>
      <c r="AX12" s="49">
        <f t="shared" si="1"/>
        <v>42840</v>
      </c>
      <c r="AY12" s="49">
        <f t="shared" si="1"/>
        <v>9669267.873</v>
      </c>
      <c r="AZ12" s="49">
        <f t="shared" si="1"/>
        <v>1346853.8035166634</v>
      </c>
      <c r="BA12" s="49">
        <f t="shared" si="1"/>
        <v>14676.113869270446</v>
      </c>
      <c r="BB12" s="49">
        <f t="shared" si="1"/>
        <v>10791792</v>
      </c>
      <c r="BC12" s="49">
        <f t="shared" si="1"/>
        <v>154304</v>
      </c>
      <c r="BD12" s="49">
        <f t="shared" si="1"/>
        <v>9816848</v>
      </c>
      <c r="BE12" s="49">
        <f t="shared" si="1"/>
        <v>880383</v>
      </c>
      <c r="BF12" s="49">
        <f t="shared" si="1"/>
        <v>288586</v>
      </c>
      <c r="BG12" s="49">
        <f t="shared" si="1"/>
        <v>65421</v>
      </c>
      <c r="BH12" s="49">
        <f t="shared" si="1"/>
        <v>0</v>
      </c>
      <c r="BI12" s="49">
        <f t="shared" si="1"/>
        <v>1402799</v>
      </c>
      <c r="BJ12" s="49">
        <f t="shared" si="1"/>
        <v>3903428</v>
      </c>
      <c r="BK12" s="49">
        <f t="shared" si="1"/>
        <v>3347179</v>
      </c>
      <c r="BL12" s="49">
        <f t="shared" si="1"/>
        <v>2905337</v>
      </c>
      <c r="BM12" s="49">
        <f t="shared" si="1"/>
        <v>0</v>
      </c>
      <c r="BN12" s="49">
        <f t="shared" si="1"/>
        <v>8837087.789</v>
      </c>
      <c r="BO12" s="49">
        <f aca="true" t="shared" si="2" ref="BO12:CP12">SUM(BO7:BO11)</f>
        <v>9516827.888</v>
      </c>
      <c r="BP12" s="49">
        <f t="shared" si="2"/>
        <v>22527.184</v>
      </c>
      <c r="BQ12" s="49">
        <f t="shared" si="2"/>
        <v>47432.681</v>
      </c>
      <c r="BR12" s="49">
        <f t="shared" si="2"/>
        <v>11082799</v>
      </c>
      <c r="BS12" s="49">
        <f t="shared" si="2"/>
        <v>11184297</v>
      </c>
      <c r="BT12" s="49">
        <f t="shared" si="2"/>
        <v>7111620</v>
      </c>
      <c r="BU12" s="49">
        <f t="shared" si="2"/>
        <v>7967683</v>
      </c>
      <c r="BV12" s="49">
        <f t="shared" si="2"/>
        <v>6438757</v>
      </c>
      <c r="BW12" s="49">
        <f t="shared" si="2"/>
        <v>1709213</v>
      </c>
      <c r="BX12" s="49">
        <f t="shared" si="2"/>
        <v>2549274</v>
      </c>
      <c r="BY12" s="49">
        <f t="shared" si="2"/>
        <v>122550</v>
      </c>
      <c r="BZ12" s="49">
        <f t="shared" si="2"/>
        <v>2596172</v>
      </c>
      <c r="CA12" s="49">
        <f t="shared" si="2"/>
        <v>195738</v>
      </c>
      <c r="CB12" s="49">
        <f t="shared" si="2"/>
        <v>1238065</v>
      </c>
      <c r="CC12" s="49">
        <f t="shared" si="2"/>
        <v>1703479.7999999998</v>
      </c>
      <c r="CD12" s="49">
        <f t="shared" si="2"/>
        <v>1014391</v>
      </c>
      <c r="CE12" s="49">
        <f t="shared" si="2"/>
        <v>837171</v>
      </c>
      <c r="CF12" s="49">
        <f t="shared" si="2"/>
        <v>1256370</v>
      </c>
      <c r="CG12" s="49">
        <f t="shared" si="2"/>
        <v>706164</v>
      </c>
      <c r="CH12" s="49">
        <f t="shared" si="2"/>
        <v>352038</v>
      </c>
      <c r="CI12" s="49">
        <f t="shared" si="2"/>
        <v>529422</v>
      </c>
      <c r="CJ12" s="49">
        <f t="shared" si="2"/>
        <v>43186</v>
      </c>
      <c r="CK12" s="49">
        <f t="shared" si="2"/>
        <v>381089</v>
      </c>
      <c r="CL12" s="49">
        <f t="shared" si="2"/>
        <v>396429</v>
      </c>
      <c r="CM12" s="49">
        <f t="shared" si="2"/>
        <v>390042</v>
      </c>
      <c r="CN12" s="49">
        <f t="shared" si="2"/>
        <v>309417</v>
      </c>
      <c r="CO12" s="49">
        <f t="shared" si="2"/>
        <v>475</v>
      </c>
      <c r="CP12" s="49">
        <f t="shared" si="2"/>
        <v>15002</v>
      </c>
      <c r="CR12" s="49">
        <f>SUM(CR7:CR11)</f>
        <v>695843190.5072454</v>
      </c>
      <c r="CS12" s="52"/>
      <c r="CT12" s="52"/>
    </row>
    <row r="14" ht="12.75" customHeight="1">
      <c r="A14" s="49" t="s">
        <v>512</v>
      </c>
    </row>
    <row r="15" spans="1:96" ht="12.75" customHeight="1">
      <c r="A15" s="49"/>
      <c r="B15" s="52" t="s">
        <v>506</v>
      </c>
      <c r="C15" s="52">
        <v>850121.948</v>
      </c>
      <c r="D15" s="52">
        <v>7249.819</v>
      </c>
      <c r="E15" s="52">
        <v>7.497</v>
      </c>
      <c r="F15" s="52">
        <v>2.557</v>
      </c>
      <c r="G15" s="52">
        <v>0</v>
      </c>
      <c r="H15" s="52">
        <v>1281485</v>
      </c>
      <c r="I15" s="52">
        <v>30450</v>
      </c>
      <c r="J15" s="52">
        <v>825839</v>
      </c>
      <c r="K15" s="52">
        <v>0</v>
      </c>
      <c r="L15" s="52">
        <v>0</v>
      </c>
      <c r="M15" s="52">
        <v>0</v>
      </c>
      <c r="N15" s="52">
        <v>279222</v>
      </c>
      <c r="O15" s="52">
        <v>24063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19178</v>
      </c>
      <c r="X15" s="52">
        <v>73456</v>
      </c>
      <c r="Y15" s="52">
        <v>0</v>
      </c>
      <c r="Z15" s="52">
        <v>23062</v>
      </c>
      <c r="AA15" s="52">
        <v>83542</v>
      </c>
      <c r="AB15" s="52">
        <v>57698</v>
      </c>
      <c r="AC15" s="52">
        <v>37</v>
      </c>
      <c r="AD15" s="52">
        <v>477116</v>
      </c>
      <c r="AE15" s="52">
        <v>0</v>
      </c>
      <c r="AF15" s="52">
        <v>0</v>
      </c>
      <c r="AG15" s="52">
        <v>0</v>
      </c>
      <c r="AH15" s="52">
        <v>0</v>
      </c>
      <c r="AI15" s="52">
        <v>13914</v>
      </c>
      <c r="AJ15" s="52">
        <v>21202</v>
      </c>
      <c r="AK15" s="52">
        <v>67434</v>
      </c>
      <c r="AL15" s="52">
        <v>1599</v>
      </c>
      <c r="AM15" s="52">
        <v>0</v>
      </c>
      <c r="AN15" s="52">
        <v>0</v>
      </c>
      <c r="AO15" s="52">
        <v>0</v>
      </c>
      <c r="AP15" s="52">
        <v>0</v>
      </c>
      <c r="AQ15" s="52">
        <v>11762</v>
      </c>
      <c r="AR15" s="52">
        <v>0</v>
      </c>
      <c r="AS15" s="52">
        <v>9026.23399999924</v>
      </c>
      <c r="AT15" s="52">
        <v>10</v>
      </c>
      <c r="AU15" s="52">
        <v>1867421.207968384</v>
      </c>
      <c r="AV15" s="52">
        <v>294840.46403161617</v>
      </c>
      <c r="AW15" s="52">
        <v>0</v>
      </c>
      <c r="AX15" s="52">
        <v>50</v>
      </c>
      <c r="AY15" s="52">
        <v>89231.855</v>
      </c>
      <c r="AZ15" s="52">
        <v>0</v>
      </c>
      <c r="BA15" s="52">
        <v>0</v>
      </c>
      <c r="BB15" s="52">
        <v>3350</v>
      </c>
      <c r="BC15" s="52">
        <v>0</v>
      </c>
      <c r="BD15" s="52">
        <v>0</v>
      </c>
      <c r="BE15" s="52">
        <v>0</v>
      </c>
      <c r="BF15" s="52">
        <v>276</v>
      </c>
      <c r="BG15" s="52">
        <v>40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123137.931</v>
      </c>
      <c r="BO15" s="52">
        <v>31242.259</v>
      </c>
      <c r="BP15" s="52">
        <v>0</v>
      </c>
      <c r="BQ15" s="52">
        <v>0</v>
      </c>
      <c r="BR15" s="52">
        <v>508923</v>
      </c>
      <c r="BS15" s="52">
        <v>0</v>
      </c>
      <c r="BT15" s="52">
        <v>0</v>
      </c>
      <c r="BU15" s="52">
        <v>938245</v>
      </c>
      <c r="BV15" s="52">
        <v>387</v>
      </c>
      <c r="BW15" s="52">
        <v>852431</v>
      </c>
      <c r="BX15" s="52">
        <v>0</v>
      </c>
      <c r="BY15" s="52">
        <v>0</v>
      </c>
      <c r="BZ15" s="52">
        <v>16789</v>
      </c>
      <c r="CA15" s="52">
        <v>0</v>
      </c>
      <c r="CB15" s="52">
        <v>0</v>
      </c>
      <c r="CC15" s="52">
        <v>0</v>
      </c>
      <c r="CD15" s="52">
        <v>838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12422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R15" s="49">
        <f aca="true" t="shared" si="3" ref="CR15:CR20">SUM(C15:CP15)</f>
        <v>8897101.772</v>
      </c>
    </row>
    <row r="16" spans="1:96" ht="12.75" customHeight="1">
      <c r="A16" s="52" t="s">
        <v>467</v>
      </c>
      <c r="B16" s="52" t="s">
        <v>507</v>
      </c>
      <c r="C16" s="52">
        <v>3430515.93</v>
      </c>
      <c r="D16" s="52">
        <v>1359023.672</v>
      </c>
      <c r="E16" s="52">
        <v>2.581</v>
      </c>
      <c r="F16" s="52">
        <v>0.88</v>
      </c>
      <c r="G16" s="52">
        <v>0</v>
      </c>
      <c r="H16" s="52">
        <v>280384</v>
      </c>
      <c r="I16" s="52">
        <v>6662</v>
      </c>
      <c r="J16" s="52">
        <v>979442.9</v>
      </c>
      <c r="K16" s="52">
        <v>0</v>
      </c>
      <c r="L16" s="52">
        <v>0</v>
      </c>
      <c r="M16" s="52">
        <v>0</v>
      </c>
      <c r="N16" s="52">
        <v>451750</v>
      </c>
      <c r="O16" s="52">
        <v>38931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23129</v>
      </c>
      <c r="X16" s="52">
        <v>76187</v>
      </c>
      <c r="Y16" s="52">
        <v>0</v>
      </c>
      <c r="Z16" s="52">
        <v>21996</v>
      </c>
      <c r="AA16" s="52">
        <v>124436</v>
      </c>
      <c r="AB16" s="52">
        <v>58049</v>
      </c>
      <c r="AC16" s="52">
        <v>47</v>
      </c>
      <c r="AD16" s="52">
        <v>176220</v>
      </c>
      <c r="AE16" s="52">
        <v>0</v>
      </c>
      <c r="AF16" s="52">
        <v>0</v>
      </c>
      <c r="AG16" s="52">
        <v>0</v>
      </c>
      <c r="AH16" s="52">
        <v>0</v>
      </c>
      <c r="AI16" s="52">
        <v>5139</v>
      </c>
      <c r="AJ16" s="52">
        <v>71767</v>
      </c>
      <c r="AK16" s="52">
        <v>46738</v>
      </c>
      <c r="AL16" s="52">
        <v>132</v>
      </c>
      <c r="AM16" s="52">
        <v>4</v>
      </c>
      <c r="AN16" s="52">
        <v>856</v>
      </c>
      <c r="AO16" s="52">
        <v>0</v>
      </c>
      <c r="AP16" s="52">
        <v>0</v>
      </c>
      <c r="AQ16" s="52">
        <v>225143</v>
      </c>
      <c r="AR16" s="52">
        <v>0</v>
      </c>
      <c r="AS16" s="52">
        <v>186866.80099999998</v>
      </c>
      <c r="AT16" s="52">
        <v>25</v>
      </c>
      <c r="AU16" s="52">
        <v>7112.813557837171</v>
      </c>
      <c r="AV16" s="52">
        <v>1977.636777441878</v>
      </c>
      <c r="AW16" s="52">
        <v>25848</v>
      </c>
      <c r="AX16" s="52">
        <v>6</v>
      </c>
      <c r="AY16" s="52">
        <v>42205.064</v>
      </c>
      <c r="AZ16" s="52">
        <v>0</v>
      </c>
      <c r="BA16" s="52">
        <v>0</v>
      </c>
      <c r="BB16" s="52">
        <v>272667</v>
      </c>
      <c r="BC16" s="52">
        <v>0</v>
      </c>
      <c r="BD16" s="52">
        <v>170660</v>
      </c>
      <c r="BE16" s="52">
        <v>15304</v>
      </c>
      <c r="BF16" s="52">
        <v>30</v>
      </c>
      <c r="BG16" s="52">
        <v>0</v>
      </c>
      <c r="BH16" s="52">
        <v>0</v>
      </c>
      <c r="BI16" s="52">
        <v>9638</v>
      </c>
      <c r="BJ16" s="52">
        <v>5794</v>
      </c>
      <c r="BK16" s="52">
        <v>4118</v>
      </c>
      <c r="BL16" s="52">
        <v>19709</v>
      </c>
      <c r="BM16" s="52">
        <v>0</v>
      </c>
      <c r="BN16" s="52">
        <v>337071.698</v>
      </c>
      <c r="BO16" s="52">
        <v>98864.727</v>
      </c>
      <c r="BP16" s="52">
        <v>0</v>
      </c>
      <c r="BQ16" s="52">
        <v>0</v>
      </c>
      <c r="BR16" s="52">
        <v>270201</v>
      </c>
      <c r="BS16" s="52">
        <v>27179</v>
      </c>
      <c r="BT16" s="52">
        <v>123</v>
      </c>
      <c r="BU16" s="52">
        <v>219023</v>
      </c>
      <c r="BV16" s="52">
        <v>46511</v>
      </c>
      <c r="BW16" s="52">
        <v>293</v>
      </c>
      <c r="BX16" s="52">
        <v>10181</v>
      </c>
      <c r="BY16" s="52">
        <v>31402</v>
      </c>
      <c r="BZ16" s="52">
        <v>14924</v>
      </c>
      <c r="CA16" s="52">
        <v>288</v>
      </c>
      <c r="CB16" s="52">
        <v>2084</v>
      </c>
      <c r="CC16" s="52">
        <v>0</v>
      </c>
      <c r="CD16" s="52">
        <v>18762</v>
      </c>
      <c r="CE16" s="52">
        <v>2036</v>
      </c>
      <c r="CF16" s="52">
        <v>1699</v>
      </c>
      <c r="CG16" s="52">
        <v>9322</v>
      </c>
      <c r="CH16" s="52">
        <v>1493</v>
      </c>
      <c r="CI16" s="52">
        <v>723</v>
      </c>
      <c r="CJ16" s="52">
        <v>61480</v>
      </c>
      <c r="CK16" s="52">
        <v>614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R16" s="49">
        <f t="shared" si="3"/>
        <v>9292791.70333528</v>
      </c>
    </row>
    <row r="17" spans="2:96" ht="12.75" customHeight="1">
      <c r="B17" s="52" t="s">
        <v>508</v>
      </c>
      <c r="C17" s="52">
        <v>929184.556</v>
      </c>
      <c r="D17" s="52">
        <v>336634.142</v>
      </c>
      <c r="E17" s="52">
        <v>273.658</v>
      </c>
      <c r="F17" s="52">
        <v>93.348</v>
      </c>
      <c r="G17" s="52">
        <v>0</v>
      </c>
      <c r="H17" s="52">
        <v>4360969</v>
      </c>
      <c r="I17" s="52">
        <v>103623</v>
      </c>
      <c r="J17" s="52">
        <v>1587685</v>
      </c>
      <c r="K17" s="52">
        <v>0</v>
      </c>
      <c r="L17" s="52">
        <v>0</v>
      </c>
      <c r="M17" s="52">
        <v>0</v>
      </c>
      <c r="N17" s="52">
        <v>400550</v>
      </c>
      <c r="O17" s="52">
        <v>34518</v>
      </c>
      <c r="P17" s="52">
        <v>65</v>
      </c>
      <c r="Q17" s="52">
        <v>698</v>
      </c>
      <c r="R17" s="52">
        <v>12</v>
      </c>
      <c r="S17" s="52">
        <v>20</v>
      </c>
      <c r="T17" s="52">
        <v>14</v>
      </c>
      <c r="U17" s="52">
        <v>21</v>
      </c>
      <c r="V17" s="52">
        <v>2</v>
      </c>
      <c r="W17" s="52">
        <v>44634</v>
      </c>
      <c r="X17" s="52">
        <v>168728</v>
      </c>
      <c r="Y17" s="52">
        <v>0</v>
      </c>
      <c r="Z17" s="52">
        <v>42015</v>
      </c>
      <c r="AA17" s="52">
        <v>170866</v>
      </c>
      <c r="AB17" s="52">
        <v>147578</v>
      </c>
      <c r="AC17" s="52">
        <v>403</v>
      </c>
      <c r="AD17" s="52">
        <v>387423</v>
      </c>
      <c r="AE17" s="52">
        <v>0</v>
      </c>
      <c r="AF17" s="52">
        <v>29276</v>
      </c>
      <c r="AG17" s="52">
        <v>4525</v>
      </c>
      <c r="AH17" s="52">
        <v>0</v>
      </c>
      <c r="AI17" s="52">
        <v>11298</v>
      </c>
      <c r="AJ17" s="52">
        <v>72459</v>
      </c>
      <c r="AK17" s="52">
        <v>231714</v>
      </c>
      <c r="AL17" s="52">
        <v>28090</v>
      </c>
      <c r="AM17" s="52">
        <v>215</v>
      </c>
      <c r="AN17" s="52">
        <v>55608</v>
      </c>
      <c r="AO17" s="52">
        <v>0</v>
      </c>
      <c r="AP17" s="52">
        <v>0</v>
      </c>
      <c r="AQ17" s="52">
        <v>183746</v>
      </c>
      <c r="AR17" s="52">
        <v>0</v>
      </c>
      <c r="AS17" s="52">
        <v>518894.2149999989</v>
      </c>
      <c r="AT17" s="52">
        <v>112</v>
      </c>
      <c r="AU17" s="52">
        <v>235105.15585452292</v>
      </c>
      <c r="AV17" s="52">
        <v>43566.43938620912</v>
      </c>
      <c r="AW17" s="52">
        <v>100550</v>
      </c>
      <c r="AX17" s="52">
        <v>340</v>
      </c>
      <c r="AY17" s="52">
        <v>118409</v>
      </c>
      <c r="AZ17" s="52">
        <v>0</v>
      </c>
      <c r="BA17" s="52">
        <v>0</v>
      </c>
      <c r="BB17" s="52">
        <v>460091</v>
      </c>
      <c r="BC17" s="52">
        <v>0</v>
      </c>
      <c r="BD17" s="52">
        <v>660213</v>
      </c>
      <c r="BE17" s="52">
        <v>59208</v>
      </c>
      <c r="BF17" s="52">
        <v>2146</v>
      </c>
      <c r="BG17" s="52">
        <v>319</v>
      </c>
      <c r="BH17" s="52">
        <v>0</v>
      </c>
      <c r="BI17" s="52">
        <v>38713</v>
      </c>
      <c r="BJ17" s="52">
        <v>113446</v>
      </c>
      <c r="BK17" s="52">
        <v>84916</v>
      </c>
      <c r="BL17" s="52">
        <v>89205</v>
      </c>
      <c r="BM17" s="52">
        <v>0</v>
      </c>
      <c r="BN17" s="52">
        <v>282089.823</v>
      </c>
      <c r="BO17" s="52">
        <v>642238.116</v>
      </c>
      <c r="BP17" s="52">
        <v>0</v>
      </c>
      <c r="BQ17" s="52">
        <v>0</v>
      </c>
      <c r="BR17" s="52">
        <v>494525</v>
      </c>
      <c r="BS17" s="52">
        <v>262269</v>
      </c>
      <c r="BT17" s="52">
        <v>37418</v>
      </c>
      <c r="BU17" s="52">
        <v>226127</v>
      </c>
      <c r="BV17" s="52">
        <v>43824</v>
      </c>
      <c r="BW17" s="52">
        <v>8753</v>
      </c>
      <c r="BX17" s="52">
        <v>129600</v>
      </c>
      <c r="BY17" s="52">
        <v>4117</v>
      </c>
      <c r="BZ17" s="52">
        <v>66803</v>
      </c>
      <c r="CA17" s="52">
        <v>4768</v>
      </c>
      <c r="CB17" s="52">
        <v>32842</v>
      </c>
      <c r="CC17" s="52">
        <v>0</v>
      </c>
      <c r="CD17" s="52">
        <v>0</v>
      </c>
      <c r="CE17" s="52">
        <v>0</v>
      </c>
      <c r="CF17" s="52">
        <v>34192</v>
      </c>
      <c r="CG17" s="52">
        <v>30887</v>
      </c>
      <c r="CH17" s="52">
        <v>29348</v>
      </c>
      <c r="CI17" s="52">
        <v>59627</v>
      </c>
      <c r="CJ17" s="52">
        <v>35669</v>
      </c>
      <c r="CK17" s="52">
        <v>11466</v>
      </c>
      <c r="CL17" s="52">
        <v>17353</v>
      </c>
      <c r="CM17" s="52">
        <v>0</v>
      </c>
      <c r="CN17" s="52">
        <v>0</v>
      </c>
      <c r="CO17" s="52">
        <v>0</v>
      </c>
      <c r="CP17" s="52">
        <v>0</v>
      </c>
      <c r="CR17" s="49">
        <f t="shared" si="3"/>
        <v>14312090.453240734</v>
      </c>
    </row>
    <row r="18" spans="1:96" ht="12.75" customHeight="1">
      <c r="A18" s="52" t="s">
        <v>467</v>
      </c>
      <c r="B18" s="52" t="s">
        <v>509</v>
      </c>
      <c r="C18" s="52">
        <v>846068.312</v>
      </c>
      <c r="D18" s="52">
        <v>476150.391</v>
      </c>
      <c r="E18" s="52">
        <v>30914.845</v>
      </c>
      <c r="F18" s="52">
        <v>2207.447</v>
      </c>
      <c r="G18" s="52">
        <v>0</v>
      </c>
      <c r="H18" s="52">
        <v>2033993</v>
      </c>
      <c r="I18" s="52">
        <v>48331</v>
      </c>
      <c r="J18" s="52">
        <v>10209503.915</v>
      </c>
      <c r="K18" s="52">
        <v>0</v>
      </c>
      <c r="L18" s="52">
        <v>0</v>
      </c>
      <c r="M18" s="52">
        <v>0</v>
      </c>
      <c r="N18" s="52">
        <v>432392</v>
      </c>
      <c r="O18" s="52">
        <v>37261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73155</v>
      </c>
      <c r="X18" s="52">
        <v>0</v>
      </c>
      <c r="Y18" s="52">
        <v>0</v>
      </c>
      <c r="Z18" s="52">
        <v>84208</v>
      </c>
      <c r="AA18" s="52">
        <v>330393</v>
      </c>
      <c r="AB18" s="52">
        <v>35278</v>
      </c>
      <c r="AC18" s="52">
        <v>0</v>
      </c>
      <c r="AD18" s="52">
        <v>1126639</v>
      </c>
      <c r="AE18" s="52">
        <v>0</v>
      </c>
      <c r="AF18" s="52">
        <v>0</v>
      </c>
      <c r="AG18" s="52">
        <v>0</v>
      </c>
      <c r="AH18" s="52">
        <v>0</v>
      </c>
      <c r="AI18" s="52">
        <v>32855</v>
      </c>
      <c r="AJ18" s="52">
        <v>17389</v>
      </c>
      <c r="AK18" s="52">
        <v>38158</v>
      </c>
      <c r="AL18" s="52">
        <v>0</v>
      </c>
      <c r="AM18" s="52">
        <v>0</v>
      </c>
      <c r="AN18" s="52">
        <v>1046255</v>
      </c>
      <c r="AO18" s="52">
        <v>0</v>
      </c>
      <c r="AP18" s="52">
        <v>0</v>
      </c>
      <c r="AQ18" s="52">
        <v>0</v>
      </c>
      <c r="AR18" s="52">
        <v>0</v>
      </c>
      <c r="AS18" s="52">
        <v>376679.879</v>
      </c>
      <c r="AT18" s="52">
        <v>0</v>
      </c>
      <c r="AU18" s="52">
        <v>0</v>
      </c>
      <c r="AV18" s="52">
        <v>0</v>
      </c>
      <c r="AW18" s="52">
        <v>77169</v>
      </c>
      <c r="AX18" s="52">
        <v>0</v>
      </c>
      <c r="AY18" s="52">
        <v>82645.214</v>
      </c>
      <c r="AZ18" s="52">
        <v>0</v>
      </c>
      <c r="BA18" s="52">
        <v>0</v>
      </c>
      <c r="BB18" s="52">
        <v>7959</v>
      </c>
      <c r="BC18" s="52">
        <v>0</v>
      </c>
      <c r="BD18" s="52">
        <v>188735</v>
      </c>
      <c r="BE18" s="52">
        <v>16926</v>
      </c>
      <c r="BF18" s="52">
        <v>4707</v>
      </c>
      <c r="BG18" s="52">
        <v>590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114842.08699999998</v>
      </c>
      <c r="BO18" s="52">
        <v>290381.507</v>
      </c>
      <c r="BP18" s="52">
        <v>0</v>
      </c>
      <c r="BQ18" s="52">
        <v>0</v>
      </c>
      <c r="BR18" s="52">
        <v>21365</v>
      </c>
      <c r="BS18" s="52">
        <v>0</v>
      </c>
      <c r="BT18" s="52">
        <v>9257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4945</v>
      </c>
      <c r="CB18" s="52">
        <v>45877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3405</v>
      </c>
      <c r="CI18" s="52">
        <v>0</v>
      </c>
      <c r="CJ18" s="52">
        <v>6172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R18" s="49">
        <f t="shared" si="3"/>
        <v>18152807.597000003</v>
      </c>
    </row>
    <row r="19" spans="1:96" ht="12.75" customHeight="1">
      <c r="A19" s="52" t="s">
        <v>467</v>
      </c>
      <c r="B19" s="52" t="s">
        <v>510</v>
      </c>
      <c r="C19" s="52">
        <v>655691.862</v>
      </c>
      <c r="D19" s="52">
        <v>413040.248</v>
      </c>
      <c r="E19" s="52">
        <v>11245.534</v>
      </c>
      <c r="F19" s="52">
        <v>4057.642</v>
      </c>
      <c r="G19" s="52">
        <v>0</v>
      </c>
      <c r="H19" s="52">
        <v>36911</v>
      </c>
      <c r="I19" s="52">
        <v>877</v>
      </c>
      <c r="J19" s="52">
        <v>207566.612</v>
      </c>
      <c r="K19" s="52">
        <v>0</v>
      </c>
      <c r="L19" s="52">
        <v>0</v>
      </c>
      <c r="M19" s="52">
        <v>0</v>
      </c>
      <c r="N19" s="52">
        <v>863948</v>
      </c>
      <c r="O19" s="52">
        <v>74453</v>
      </c>
      <c r="P19" s="52">
        <v>16273</v>
      </c>
      <c r="Q19" s="52">
        <v>175473</v>
      </c>
      <c r="R19" s="52">
        <v>3096</v>
      </c>
      <c r="S19" s="52">
        <v>5062</v>
      </c>
      <c r="T19" s="52">
        <v>3493</v>
      </c>
      <c r="U19" s="52">
        <v>5376</v>
      </c>
      <c r="V19" s="52">
        <v>397</v>
      </c>
      <c r="W19" s="52">
        <v>162315</v>
      </c>
      <c r="X19" s="52">
        <v>158596</v>
      </c>
      <c r="Y19" s="52">
        <v>0</v>
      </c>
      <c r="Z19" s="52">
        <v>132787</v>
      </c>
      <c r="AA19" s="52">
        <v>502712</v>
      </c>
      <c r="AB19" s="52">
        <v>291445</v>
      </c>
      <c r="AC19" s="52">
        <v>70739</v>
      </c>
      <c r="AD19" s="52">
        <v>879663</v>
      </c>
      <c r="AE19" s="52">
        <v>0</v>
      </c>
      <c r="AF19" s="52">
        <v>17908</v>
      </c>
      <c r="AG19" s="52">
        <v>1</v>
      </c>
      <c r="AH19" s="52">
        <v>4669</v>
      </c>
      <c r="AI19" s="52">
        <v>25653</v>
      </c>
      <c r="AJ19" s="52">
        <v>99042</v>
      </c>
      <c r="AK19" s="52">
        <v>236834</v>
      </c>
      <c r="AL19" s="52">
        <v>127791</v>
      </c>
      <c r="AM19" s="52">
        <v>168411</v>
      </c>
      <c r="AN19" s="52">
        <v>75778</v>
      </c>
      <c r="AO19" s="52">
        <v>0</v>
      </c>
      <c r="AP19" s="52">
        <v>0</v>
      </c>
      <c r="AQ19" s="52">
        <v>43320</v>
      </c>
      <c r="AR19" s="52">
        <v>0</v>
      </c>
      <c r="AS19" s="52">
        <v>431598.6610000003</v>
      </c>
      <c r="AT19" s="52">
        <v>3035</v>
      </c>
      <c r="AU19" s="52">
        <v>307164.2565274671</v>
      </c>
      <c r="AV19" s="52">
        <v>131457.93922177405</v>
      </c>
      <c r="AW19" s="52">
        <v>844673</v>
      </c>
      <c r="AX19" s="52">
        <v>227</v>
      </c>
      <c r="AY19" s="52">
        <v>1081871.16</v>
      </c>
      <c r="AZ19" s="52">
        <v>0</v>
      </c>
      <c r="BA19" s="52">
        <v>0</v>
      </c>
      <c r="BB19" s="52">
        <v>54269</v>
      </c>
      <c r="BC19" s="52">
        <v>0</v>
      </c>
      <c r="BD19" s="52">
        <v>509123</v>
      </c>
      <c r="BE19" s="52">
        <v>45659</v>
      </c>
      <c r="BF19" s="52">
        <v>8833</v>
      </c>
      <c r="BG19" s="52">
        <v>3430</v>
      </c>
      <c r="BH19" s="52">
        <v>0</v>
      </c>
      <c r="BI19" s="52">
        <v>109510</v>
      </c>
      <c r="BJ19" s="52">
        <v>356282</v>
      </c>
      <c r="BK19" s="52">
        <v>250680</v>
      </c>
      <c r="BL19" s="52">
        <v>184809</v>
      </c>
      <c r="BM19" s="52">
        <v>0</v>
      </c>
      <c r="BN19" s="52">
        <v>100835.481</v>
      </c>
      <c r="BO19" s="52">
        <v>173017.288</v>
      </c>
      <c r="BP19" s="52">
        <v>0</v>
      </c>
      <c r="BQ19" s="52">
        <v>0</v>
      </c>
      <c r="BR19" s="52">
        <v>347261</v>
      </c>
      <c r="BS19" s="52">
        <v>518869</v>
      </c>
      <c r="BT19" s="52">
        <v>0</v>
      </c>
      <c r="BU19" s="52">
        <v>153533</v>
      </c>
      <c r="BV19" s="52">
        <v>184309</v>
      </c>
      <c r="BW19" s="52">
        <v>123665</v>
      </c>
      <c r="BX19" s="52">
        <v>150154</v>
      </c>
      <c r="BY19" s="52">
        <v>4449</v>
      </c>
      <c r="BZ19" s="52">
        <v>88740</v>
      </c>
      <c r="CA19" s="52">
        <v>5176</v>
      </c>
      <c r="CB19" s="52">
        <v>53269</v>
      </c>
      <c r="CC19" s="52">
        <v>771.4</v>
      </c>
      <c r="CD19" s="52">
        <v>658149</v>
      </c>
      <c r="CE19" s="52">
        <v>56740</v>
      </c>
      <c r="CF19" s="52">
        <v>94468</v>
      </c>
      <c r="CG19" s="52">
        <v>43297</v>
      </c>
      <c r="CH19" s="52">
        <v>17812</v>
      </c>
      <c r="CI19" s="52">
        <v>28939</v>
      </c>
      <c r="CJ19" s="52">
        <v>18684</v>
      </c>
      <c r="CK19" s="52">
        <v>20473</v>
      </c>
      <c r="CL19" s="52">
        <v>18055</v>
      </c>
      <c r="CM19" s="52">
        <v>0</v>
      </c>
      <c r="CN19" s="52">
        <v>0</v>
      </c>
      <c r="CO19" s="52">
        <v>0</v>
      </c>
      <c r="CP19" s="52">
        <v>0</v>
      </c>
      <c r="CR19" s="49">
        <f t="shared" si="3"/>
        <v>12657913.083749244</v>
      </c>
    </row>
    <row r="20" spans="1:96" ht="12.75" customHeight="1">
      <c r="A20" s="52" t="s">
        <v>467</v>
      </c>
      <c r="B20" s="52" t="s">
        <v>513</v>
      </c>
      <c r="C20" s="52">
        <v>24496834.323000003</v>
      </c>
      <c r="D20" s="52">
        <v>11478323.079</v>
      </c>
      <c r="E20" s="52">
        <v>1617.568</v>
      </c>
      <c r="F20" s="52">
        <v>673.987</v>
      </c>
      <c r="G20" s="52">
        <v>0</v>
      </c>
      <c r="H20" s="52">
        <v>30634776</v>
      </c>
      <c r="I20" s="52">
        <v>727928</v>
      </c>
      <c r="J20" s="52">
        <v>10083178</v>
      </c>
      <c r="K20" s="52">
        <v>0</v>
      </c>
      <c r="L20" s="52">
        <v>0</v>
      </c>
      <c r="M20" s="52">
        <v>0</v>
      </c>
      <c r="N20" s="52">
        <v>8266173</v>
      </c>
      <c r="O20" s="52">
        <v>712357</v>
      </c>
      <c r="P20" s="52">
        <v>17868</v>
      </c>
      <c r="Q20" s="52">
        <v>192666</v>
      </c>
      <c r="R20" s="52">
        <v>3399</v>
      </c>
      <c r="S20" s="52">
        <v>5558</v>
      </c>
      <c r="T20" s="52">
        <v>3835</v>
      </c>
      <c r="U20" s="52">
        <v>5902</v>
      </c>
      <c r="V20" s="52">
        <v>436</v>
      </c>
      <c r="W20" s="52">
        <v>451043</v>
      </c>
      <c r="X20" s="52">
        <v>1499669</v>
      </c>
      <c r="Y20" s="52">
        <v>0</v>
      </c>
      <c r="Z20" s="52">
        <v>431224</v>
      </c>
      <c r="AA20" s="52">
        <v>1894292</v>
      </c>
      <c r="AB20" s="52">
        <v>1155974</v>
      </c>
      <c r="AC20" s="52">
        <v>0</v>
      </c>
      <c r="AD20" s="52">
        <v>8742861</v>
      </c>
      <c r="AE20" s="52">
        <v>0</v>
      </c>
      <c r="AF20" s="52">
        <v>417970</v>
      </c>
      <c r="AG20" s="52">
        <v>64605</v>
      </c>
      <c r="AH20" s="52">
        <v>0</v>
      </c>
      <c r="AI20" s="52">
        <v>254964</v>
      </c>
      <c r="AJ20" s="52">
        <v>29129</v>
      </c>
      <c r="AK20" s="52">
        <v>346203</v>
      </c>
      <c r="AL20" s="52">
        <v>0</v>
      </c>
      <c r="AM20" s="52">
        <v>0</v>
      </c>
      <c r="AN20" s="52">
        <v>444270</v>
      </c>
      <c r="AO20" s="52">
        <v>0</v>
      </c>
      <c r="AP20" s="52">
        <v>0</v>
      </c>
      <c r="AQ20" s="52">
        <v>1515268</v>
      </c>
      <c r="AR20" s="52">
        <v>0</v>
      </c>
      <c r="AS20" s="52">
        <v>851007.678</v>
      </c>
      <c r="AT20" s="52">
        <v>0</v>
      </c>
      <c r="AU20" s="52">
        <v>1069163.377995326</v>
      </c>
      <c r="AV20" s="52">
        <v>709165.702004674</v>
      </c>
      <c r="AW20" s="52">
        <v>872886</v>
      </c>
      <c r="AX20" s="52">
        <v>0</v>
      </c>
      <c r="AY20" s="52">
        <v>3872486.967</v>
      </c>
      <c r="AZ20" s="52">
        <v>0</v>
      </c>
      <c r="BA20" s="52">
        <v>0</v>
      </c>
      <c r="BB20" s="52">
        <v>392000</v>
      </c>
      <c r="BC20" s="52">
        <v>0</v>
      </c>
      <c r="BD20" s="52">
        <v>3468123</v>
      </c>
      <c r="BE20" s="52">
        <v>311024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1944743.966</v>
      </c>
      <c r="BO20" s="52">
        <v>0</v>
      </c>
      <c r="BP20" s="52">
        <v>0</v>
      </c>
      <c r="BQ20" s="52">
        <v>0</v>
      </c>
      <c r="BR20" s="52">
        <v>367999</v>
      </c>
      <c r="BS20" s="52">
        <v>1897889</v>
      </c>
      <c r="BT20" s="52">
        <v>1247129</v>
      </c>
      <c r="BU20" s="52">
        <v>298423</v>
      </c>
      <c r="BV20" s="52">
        <v>0</v>
      </c>
      <c r="BW20" s="52">
        <v>0</v>
      </c>
      <c r="BX20" s="52">
        <v>47367</v>
      </c>
      <c r="BY20" s="52">
        <v>4508</v>
      </c>
      <c r="BZ20" s="52">
        <v>15997</v>
      </c>
      <c r="CA20" s="52">
        <v>0</v>
      </c>
      <c r="CB20" s="52">
        <v>51604</v>
      </c>
      <c r="CC20" s="52">
        <v>297190.9</v>
      </c>
      <c r="CD20" s="52">
        <v>64663</v>
      </c>
      <c r="CE20" s="52">
        <v>270306</v>
      </c>
      <c r="CF20" s="52">
        <v>10263</v>
      </c>
      <c r="CG20" s="52">
        <v>32494</v>
      </c>
      <c r="CH20" s="52">
        <v>38724</v>
      </c>
      <c r="CI20" s="52">
        <v>0</v>
      </c>
      <c r="CJ20" s="52">
        <v>2464</v>
      </c>
      <c r="CK20" s="52">
        <v>454</v>
      </c>
      <c r="CL20" s="52">
        <v>14957</v>
      </c>
      <c r="CM20" s="52">
        <v>17047</v>
      </c>
      <c r="CN20" s="52">
        <v>53472</v>
      </c>
      <c r="CO20" s="52">
        <v>1455</v>
      </c>
      <c r="CP20" s="52">
        <v>13798</v>
      </c>
      <c r="CR20" s="49">
        <f t="shared" si="3"/>
        <v>122117801.54800002</v>
      </c>
    </row>
    <row r="21" spans="2:96" s="49" customFormat="1" ht="12.75" customHeight="1">
      <c r="B21" s="256" t="s">
        <v>511</v>
      </c>
      <c r="C21" s="49">
        <f aca="true" t="shared" si="4" ref="C21:AH21">SUM(C15:C20)</f>
        <v>31208416.931</v>
      </c>
      <c r="D21" s="49">
        <f t="shared" si="4"/>
        <v>14070421.351</v>
      </c>
      <c r="E21" s="49">
        <f t="shared" si="4"/>
        <v>44061.683000000005</v>
      </c>
      <c r="F21" s="49">
        <f t="shared" si="4"/>
        <v>7035.861</v>
      </c>
      <c r="G21" s="49">
        <f t="shared" si="4"/>
        <v>0</v>
      </c>
      <c r="H21" s="49">
        <f t="shared" si="4"/>
        <v>38628518</v>
      </c>
      <c r="I21" s="49">
        <f t="shared" si="4"/>
        <v>917871</v>
      </c>
      <c r="J21" s="49">
        <f t="shared" si="4"/>
        <v>23893215.427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10694035</v>
      </c>
      <c r="O21" s="49">
        <f t="shared" si="4"/>
        <v>921583</v>
      </c>
      <c r="P21" s="49">
        <f t="shared" si="4"/>
        <v>34206</v>
      </c>
      <c r="Q21" s="49">
        <f t="shared" si="4"/>
        <v>368837</v>
      </c>
      <c r="R21" s="49">
        <f t="shared" si="4"/>
        <v>6507</v>
      </c>
      <c r="S21" s="49">
        <f t="shared" si="4"/>
        <v>10640</v>
      </c>
      <c r="T21" s="49">
        <f t="shared" si="4"/>
        <v>7342</v>
      </c>
      <c r="U21" s="49">
        <f t="shared" si="4"/>
        <v>11299</v>
      </c>
      <c r="V21" s="49">
        <f t="shared" si="4"/>
        <v>835</v>
      </c>
      <c r="W21" s="49">
        <f t="shared" si="4"/>
        <v>773454</v>
      </c>
      <c r="X21" s="49">
        <f t="shared" si="4"/>
        <v>1976636</v>
      </c>
      <c r="Y21" s="49">
        <f>SUM(Y15:Y20)</f>
        <v>0</v>
      </c>
      <c r="Z21" s="49">
        <f t="shared" si="4"/>
        <v>735292</v>
      </c>
      <c r="AA21" s="49">
        <f t="shared" si="4"/>
        <v>3106241</v>
      </c>
      <c r="AB21" s="49">
        <f t="shared" si="4"/>
        <v>1746022</v>
      </c>
      <c r="AC21" s="49">
        <f t="shared" si="4"/>
        <v>71226</v>
      </c>
      <c r="AD21" s="49">
        <f t="shared" si="4"/>
        <v>11789922</v>
      </c>
      <c r="AE21" s="49">
        <f t="shared" si="4"/>
        <v>0</v>
      </c>
      <c r="AF21" s="49">
        <f t="shared" si="4"/>
        <v>465154</v>
      </c>
      <c r="AG21" s="49">
        <f t="shared" si="4"/>
        <v>69131</v>
      </c>
      <c r="AH21" s="49">
        <f t="shared" si="4"/>
        <v>4669</v>
      </c>
      <c r="AI21" s="49">
        <f aca="true" t="shared" si="5" ref="AI21:BN21">SUM(AI15:AI20)</f>
        <v>343823</v>
      </c>
      <c r="AJ21" s="49">
        <f t="shared" si="5"/>
        <v>310988</v>
      </c>
      <c r="AK21" s="49">
        <f t="shared" si="5"/>
        <v>967081</v>
      </c>
      <c r="AL21" s="49">
        <f t="shared" si="5"/>
        <v>157612</v>
      </c>
      <c r="AM21" s="49">
        <f t="shared" si="5"/>
        <v>168630</v>
      </c>
      <c r="AN21" s="49">
        <f t="shared" si="5"/>
        <v>1622767</v>
      </c>
      <c r="AO21" s="49">
        <f t="shared" si="5"/>
        <v>0</v>
      </c>
      <c r="AP21" s="49">
        <f t="shared" si="5"/>
        <v>0</v>
      </c>
      <c r="AQ21" s="49">
        <f t="shared" si="5"/>
        <v>1979239</v>
      </c>
      <c r="AR21" s="49">
        <f t="shared" si="5"/>
        <v>0</v>
      </c>
      <c r="AS21" s="49">
        <f t="shared" si="5"/>
        <v>2374073.4679999985</v>
      </c>
      <c r="AT21" s="49">
        <f t="shared" si="5"/>
        <v>3182</v>
      </c>
      <c r="AU21" s="49">
        <f t="shared" si="5"/>
        <v>3485966.8119035373</v>
      </c>
      <c r="AV21" s="49">
        <f t="shared" si="5"/>
        <v>1181008.1814217153</v>
      </c>
      <c r="AW21" s="49">
        <f t="shared" si="5"/>
        <v>1921126</v>
      </c>
      <c r="AX21" s="49">
        <f t="shared" si="5"/>
        <v>623</v>
      </c>
      <c r="AY21" s="49">
        <f t="shared" si="5"/>
        <v>5286849.26</v>
      </c>
      <c r="AZ21" s="49">
        <f t="shared" si="5"/>
        <v>0</v>
      </c>
      <c r="BA21" s="49">
        <f t="shared" si="5"/>
        <v>0</v>
      </c>
      <c r="BB21" s="49">
        <f t="shared" si="5"/>
        <v>1190336</v>
      </c>
      <c r="BC21" s="49">
        <f t="shared" si="5"/>
        <v>0</v>
      </c>
      <c r="BD21" s="49">
        <f t="shared" si="5"/>
        <v>4996854</v>
      </c>
      <c r="BE21" s="49">
        <f t="shared" si="5"/>
        <v>448121</v>
      </c>
      <c r="BF21" s="49">
        <f t="shared" si="5"/>
        <v>15992</v>
      </c>
      <c r="BG21" s="49">
        <f t="shared" si="5"/>
        <v>4379</v>
      </c>
      <c r="BH21" s="49">
        <f t="shared" si="5"/>
        <v>0</v>
      </c>
      <c r="BI21" s="49">
        <f t="shared" si="5"/>
        <v>157861</v>
      </c>
      <c r="BJ21" s="49">
        <f t="shared" si="5"/>
        <v>475522</v>
      </c>
      <c r="BK21" s="49">
        <f t="shared" si="5"/>
        <v>339714</v>
      </c>
      <c r="BL21" s="49">
        <f t="shared" si="5"/>
        <v>293723</v>
      </c>
      <c r="BM21" s="49">
        <f t="shared" si="5"/>
        <v>0</v>
      </c>
      <c r="BN21" s="49">
        <f t="shared" si="5"/>
        <v>2902720.986</v>
      </c>
      <c r="BO21" s="49">
        <f aca="true" t="shared" si="6" ref="BO21:CP21">SUM(BO15:BO20)</f>
        <v>1235743.897</v>
      </c>
      <c r="BP21" s="49">
        <f t="shared" si="6"/>
        <v>0</v>
      </c>
      <c r="BQ21" s="49">
        <f t="shared" si="6"/>
        <v>0</v>
      </c>
      <c r="BR21" s="49">
        <f t="shared" si="6"/>
        <v>2010274</v>
      </c>
      <c r="BS21" s="49">
        <f t="shared" si="6"/>
        <v>2706206</v>
      </c>
      <c r="BT21" s="49">
        <f t="shared" si="6"/>
        <v>1293927</v>
      </c>
      <c r="BU21" s="49">
        <f t="shared" si="6"/>
        <v>1835351</v>
      </c>
      <c r="BV21" s="49">
        <f t="shared" si="6"/>
        <v>275031</v>
      </c>
      <c r="BW21" s="49">
        <f t="shared" si="6"/>
        <v>985142</v>
      </c>
      <c r="BX21" s="49">
        <f t="shared" si="6"/>
        <v>337302</v>
      </c>
      <c r="BY21" s="49">
        <f t="shared" si="6"/>
        <v>44476</v>
      </c>
      <c r="BZ21" s="49">
        <f t="shared" si="6"/>
        <v>203253</v>
      </c>
      <c r="CA21" s="49">
        <f t="shared" si="6"/>
        <v>15177</v>
      </c>
      <c r="CB21" s="49">
        <f t="shared" si="6"/>
        <v>185676</v>
      </c>
      <c r="CC21" s="49">
        <f t="shared" si="6"/>
        <v>297962.30000000005</v>
      </c>
      <c r="CD21" s="49">
        <f t="shared" si="6"/>
        <v>742412</v>
      </c>
      <c r="CE21" s="49">
        <f t="shared" si="6"/>
        <v>329082</v>
      </c>
      <c r="CF21" s="49">
        <f t="shared" si="6"/>
        <v>140622</v>
      </c>
      <c r="CG21" s="49">
        <f t="shared" si="6"/>
        <v>116000</v>
      </c>
      <c r="CH21" s="49">
        <f t="shared" si="6"/>
        <v>90782</v>
      </c>
      <c r="CI21" s="49">
        <f t="shared" si="6"/>
        <v>89289</v>
      </c>
      <c r="CJ21" s="49">
        <f t="shared" si="6"/>
        <v>124469</v>
      </c>
      <c r="CK21" s="49">
        <f t="shared" si="6"/>
        <v>45429</v>
      </c>
      <c r="CL21" s="49">
        <f t="shared" si="6"/>
        <v>50365</v>
      </c>
      <c r="CM21" s="49">
        <f t="shared" si="6"/>
        <v>17047</v>
      </c>
      <c r="CN21" s="49">
        <f t="shared" si="6"/>
        <v>53472</v>
      </c>
      <c r="CO21" s="49">
        <f t="shared" si="6"/>
        <v>1455</v>
      </c>
      <c r="CP21" s="49">
        <f t="shared" si="6"/>
        <v>13798</v>
      </c>
      <c r="CR21" s="49">
        <f>SUM(CR15:CR20)</f>
        <v>185430506.15732527</v>
      </c>
    </row>
    <row r="22" ht="12.75" customHeight="1">
      <c r="A22" s="52" t="s">
        <v>467</v>
      </c>
    </row>
    <row r="23" ht="12.75" customHeight="1">
      <c r="A23" s="49" t="s">
        <v>514</v>
      </c>
    </row>
    <row r="24" spans="1:96" ht="12.75" customHeight="1">
      <c r="A24" s="52" t="s">
        <v>467</v>
      </c>
      <c r="B24" s="52" t="s">
        <v>515</v>
      </c>
      <c r="C24" s="52">
        <v>83566666.924</v>
      </c>
      <c r="D24" s="52">
        <v>42152991.002000004</v>
      </c>
      <c r="E24" s="52">
        <v>1808265.9670000002</v>
      </c>
      <c r="F24" s="52">
        <v>289034.202</v>
      </c>
      <c r="G24" s="52">
        <v>0</v>
      </c>
      <c r="H24" s="52">
        <v>118726207</v>
      </c>
      <c r="I24" s="52">
        <v>2821113</v>
      </c>
      <c r="J24" s="52">
        <v>58675540.212</v>
      </c>
      <c r="K24" s="52">
        <v>96560.698</v>
      </c>
      <c r="L24" s="52">
        <v>104743.016</v>
      </c>
      <c r="M24" s="52">
        <v>0</v>
      </c>
      <c r="N24" s="52">
        <v>36873262</v>
      </c>
      <c r="O24" s="52">
        <v>3177638</v>
      </c>
      <c r="P24" s="52">
        <v>140446</v>
      </c>
      <c r="Q24" s="52">
        <v>0</v>
      </c>
      <c r="R24" s="52">
        <v>28962</v>
      </c>
      <c r="S24" s="52">
        <v>31976</v>
      </c>
      <c r="T24" s="52">
        <v>12166</v>
      </c>
      <c r="U24" s="52">
        <v>8454</v>
      </c>
      <c r="V24" s="52">
        <v>0</v>
      </c>
      <c r="W24" s="52">
        <v>3232532</v>
      </c>
      <c r="X24" s="52">
        <v>0</v>
      </c>
      <c r="Y24" s="52">
        <v>0</v>
      </c>
      <c r="Z24" s="52">
        <v>9855870</v>
      </c>
      <c r="AA24" s="52">
        <v>21753591</v>
      </c>
      <c r="AB24" s="52">
        <v>2318128</v>
      </c>
      <c r="AC24" s="52">
        <v>0</v>
      </c>
      <c r="AD24" s="52">
        <v>25700957</v>
      </c>
      <c r="AE24" s="52">
        <v>0</v>
      </c>
      <c r="AF24" s="52">
        <v>0</v>
      </c>
      <c r="AG24" s="52">
        <v>34016</v>
      </c>
      <c r="AH24" s="52">
        <v>32853</v>
      </c>
      <c r="AI24" s="52">
        <v>749488</v>
      </c>
      <c r="AJ24" s="52">
        <v>5207407</v>
      </c>
      <c r="AK24" s="52">
        <v>18760378</v>
      </c>
      <c r="AL24" s="52">
        <v>538659</v>
      </c>
      <c r="AM24" s="52">
        <v>0</v>
      </c>
      <c r="AN24" s="52">
        <v>18867789</v>
      </c>
      <c r="AO24" s="52">
        <v>107870</v>
      </c>
      <c r="AP24" s="52">
        <v>842216</v>
      </c>
      <c r="AQ24" s="52">
        <v>17759984</v>
      </c>
      <c r="AR24" s="52">
        <v>133729</v>
      </c>
      <c r="AS24" s="52">
        <v>18240769.768</v>
      </c>
      <c r="AT24" s="52">
        <v>38671</v>
      </c>
      <c r="AU24" s="52">
        <v>3980730.0949999997</v>
      </c>
      <c r="AV24" s="52">
        <v>3704199.537</v>
      </c>
      <c r="AW24" s="52">
        <v>9976454</v>
      </c>
      <c r="AX24" s="52">
        <v>44334</v>
      </c>
      <c r="AY24" s="52">
        <v>10359302.853718</v>
      </c>
      <c r="AZ24" s="52">
        <v>0</v>
      </c>
      <c r="BA24" s="52">
        <v>19829.4810196786</v>
      </c>
      <c r="BB24" s="52">
        <v>14275838</v>
      </c>
      <c r="BC24" s="52">
        <v>155667</v>
      </c>
      <c r="BD24" s="52">
        <v>3853432</v>
      </c>
      <c r="BE24" s="52">
        <v>345579</v>
      </c>
      <c r="BF24" s="52">
        <v>283307</v>
      </c>
      <c r="BG24" s="52">
        <v>16907</v>
      </c>
      <c r="BH24" s="52">
        <v>0</v>
      </c>
      <c r="BI24" s="52">
        <v>779896</v>
      </c>
      <c r="BJ24" s="52">
        <v>3659429</v>
      </c>
      <c r="BK24" s="52">
        <v>1867541</v>
      </c>
      <c r="BL24" s="52">
        <v>694704</v>
      </c>
      <c r="BM24" s="52">
        <v>0</v>
      </c>
      <c r="BN24" s="52">
        <v>10602090.598000001</v>
      </c>
      <c r="BO24" s="52">
        <v>9740516.149</v>
      </c>
      <c r="BP24" s="52">
        <v>15817.91</v>
      </c>
      <c r="BQ24" s="52">
        <v>75099.299</v>
      </c>
      <c r="BR24" s="52">
        <v>7568039</v>
      </c>
      <c r="BS24" s="52">
        <v>0</v>
      </c>
      <c r="BT24" s="52">
        <v>492691</v>
      </c>
      <c r="BU24" s="52">
        <v>2105424</v>
      </c>
      <c r="BV24" s="52">
        <v>0</v>
      </c>
      <c r="BW24" s="52">
        <v>739364</v>
      </c>
      <c r="BX24" s="52">
        <v>691411</v>
      </c>
      <c r="BY24" s="52">
        <v>0</v>
      </c>
      <c r="BZ24" s="52">
        <v>0</v>
      </c>
      <c r="CA24" s="52">
        <v>98535</v>
      </c>
      <c r="CB24" s="52">
        <v>724519</v>
      </c>
      <c r="CC24" s="52">
        <v>363040</v>
      </c>
      <c r="CD24" s="52">
        <v>616108</v>
      </c>
      <c r="CE24" s="52">
        <v>980957</v>
      </c>
      <c r="CF24" s="52">
        <v>329890</v>
      </c>
      <c r="CG24" s="52">
        <v>277775</v>
      </c>
      <c r="CH24" s="52">
        <v>287592</v>
      </c>
      <c r="CI24" s="52">
        <v>147067</v>
      </c>
      <c r="CJ24" s="52">
        <v>900</v>
      </c>
      <c r="CK24" s="52">
        <v>104709</v>
      </c>
      <c r="CL24" s="52">
        <v>0</v>
      </c>
      <c r="CM24" s="52">
        <v>8471</v>
      </c>
      <c r="CN24" s="52">
        <v>4083</v>
      </c>
      <c r="CO24" s="52">
        <v>0</v>
      </c>
      <c r="CP24" s="52">
        <v>0</v>
      </c>
      <c r="CR24" s="49">
        <f>SUM(C24:CP24)</f>
        <v>582680182.7117379</v>
      </c>
    </row>
    <row r="25" spans="1:96" ht="12.75" customHeight="1">
      <c r="A25" s="52" t="s">
        <v>467</v>
      </c>
      <c r="B25" s="52" t="s">
        <v>516</v>
      </c>
      <c r="C25" s="52">
        <v>343.648</v>
      </c>
      <c r="D25" s="52">
        <v>162.837</v>
      </c>
      <c r="E25" s="52">
        <v>0</v>
      </c>
      <c r="F25" s="52">
        <v>0</v>
      </c>
      <c r="G25" s="52">
        <v>0</v>
      </c>
      <c r="H25" s="52">
        <v>2522540</v>
      </c>
      <c r="I25" s="52">
        <v>59939</v>
      </c>
      <c r="J25" s="52">
        <v>2725844</v>
      </c>
      <c r="K25" s="52">
        <v>0</v>
      </c>
      <c r="L25" s="52">
        <v>0</v>
      </c>
      <c r="M25" s="52">
        <v>0</v>
      </c>
      <c r="N25" s="52">
        <v>718684</v>
      </c>
      <c r="O25" s="52">
        <v>61934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32336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1644197</v>
      </c>
      <c r="AE25" s="52">
        <v>0</v>
      </c>
      <c r="AF25" s="52">
        <v>0</v>
      </c>
      <c r="AG25" s="52">
        <v>0</v>
      </c>
      <c r="AH25" s="52">
        <v>0</v>
      </c>
      <c r="AI25" s="52">
        <v>47948</v>
      </c>
      <c r="AJ25" s="52">
        <v>6141</v>
      </c>
      <c r="AK25" s="52">
        <v>2777</v>
      </c>
      <c r="AL25" s="52">
        <v>2</v>
      </c>
      <c r="AM25" s="52">
        <v>0</v>
      </c>
      <c r="AN25" s="52">
        <v>707829</v>
      </c>
      <c r="AO25" s="52">
        <v>0</v>
      </c>
      <c r="AP25" s="52">
        <v>0</v>
      </c>
      <c r="AQ25" s="52">
        <v>989</v>
      </c>
      <c r="AR25" s="52">
        <v>0</v>
      </c>
      <c r="AS25" s="52">
        <v>1181779.096</v>
      </c>
      <c r="AT25" s="52">
        <v>0</v>
      </c>
      <c r="AU25" s="52">
        <v>0</v>
      </c>
      <c r="AV25" s="52">
        <v>0</v>
      </c>
      <c r="AW25" s="52">
        <v>64437</v>
      </c>
      <c r="AX25" s="52">
        <v>0</v>
      </c>
      <c r="AY25" s="52">
        <v>86.391</v>
      </c>
      <c r="AZ25" s="52">
        <v>0</v>
      </c>
      <c r="BA25" s="52">
        <v>0</v>
      </c>
      <c r="BB25" s="52">
        <v>341550</v>
      </c>
      <c r="BC25" s="52">
        <v>0</v>
      </c>
      <c r="BD25" s="52">
        <v>608538</v>
      </c>
      <c r="BE25" s="52">
        <v>54574</v>
      </c>
      <c r="BF25" s="52">
        <v>1</v>
      </c>
      <c r="BG25" s="52">
        <v>0</v>
      </c>
      <c r="BH25" s="52">
        <v>0</v>
      </c>
      <c r="BI25" s="52">
        <v>0</v>
      </c>
      <c r="BJ25" s="52">
        <v>7</v>
      </c>
      <c r="BK25" s="52">
        <v>10</v>
      </c>
      <c r="BL25" s="52">
        <v>0</v>
      </c>
      <c r="BM25" s="52">
        <v>0</v>
      </c>
      <c r="BN25" s="52">
        <v>40.208</v>
      </c>
      <c r="BO25" s="52">
        <v>41465.746</v>
      </c>
      <c r="BP25" s="52">
        <v>0</v>
      </c>
      <c r="BQ25" s="52">
        <v>0</v>
      </c>
      <c r="BR25" s="52">
        <v>76875</v>
      </c>
      <c r="BS25" s="52">
        <v>68</v>
      </c>
      <c r="BT25" s="52">
        <v>14731</v>
      </c>
      <c r="BU25" s="52">
        <v>0</v>
      </c>
      <c r="BV25" s="52">
        <v>0</v>
      </c>
      <c r="BW25" s="52">
        <v>8423</v>
      </c>
      <c r="BX25" s="52">
        <v>0</v>
      </c>
      <c r="BY25" s="52">
        <v>0</v>
      </c>
      <c r="BZ25" s="52">
        <v>22</v>
      </c>
      <c r="CA25" s="52">
        <v>0</v>
      </c>
      <c r="CB25" s="52">
        <v>11</v>
      </c>
      <c r="CC25" s="52">
        <v>67.4</v>
      </c>
      <c r="CD25" s="52">
        <v>0</v>
      </c>
      <c r="CE25" s="52">
        <v>10418</v>
      </c>
      <c r="CF25" s="52">
        <v>14</v>
      </c>
      <c r="CG25" s="52">
        <v>0</v>
      </c>
      <c r="CH25" s="52">
        <v>1</v>
      </c>
      <c r="CI25" s="52">
        <v>7</v>
      </c>
      <c r="CJ25" s="52">
        <v>0</v>
      </c>
      <c r="CK25" s="52">
        <v>6</v>
      </c>
      <c r="CL25" s="52">
        <v>0</v>
      </c>
      <c r="CM25" s="52">
        <v>0</v>
      </c>
      <c r="CN25" s="52">
        <v>32829</v>
      </c>
      <c r="CO25" s="52">
        <v>900</v>
      </c>
      <c r="CP25" s="52">
        <v>0</v>
      </c>
      <c r="CR25" s="49">
        <f>SUM(C25:CP25)</f>
        <v>10968527.326000001</v>
      </c>
    </row>
    <row r="26" spans="2:96" s="49" customFormat="1" ht="12.75" customHeight="1">
      <c r="B26" s="256" t="s">
        <v>511</v>
      </c>
      <c r="C26" s="49">
        <f aca="true" t="shared" si="7" ref="C26:AH26">SUM(C24:C25)</f>
        <v>83567010.572</v>
      </c>
      <c r="D26" s="49">
        <f t="shared" si="7"/>
        <v>42153153.839</v>
      </c>
      <c r="E26" s="49">
        <f t="shared" si="7"/>
        <v>1808265.9670000002</v>
      </c>
      <c r="F26" s="49">
        <f t="shared" si="7"/>
        <v>289034.202</v>
      </c>
      <c r="G26" s="49">
        <f t="shared" si="7"/>
        <v>0</v>
      </c>
      <c r="H26" s="49">
        <f t="shared" si="7"/>
        <v>121248747</v>
      </c>
      <c r="I26" s="49">
        <f t="shared" si="7"/>
        <v>2881052</v>
      </c>
      <c r="J26" s="49">
        <f t="shared" si="7"/>
        <v>61401384.212</v>
      </c>
      <c r="K26" s="49">
        <f t="shared" si="7"/>
        <v>96560.698</v>
      </c>
      <c r="L26" s="49">
        <f t="shared" si="7"/>
        <v>104743.016</v>
      </c>
      <c r="M26" s="49">
        <f t="shared" si="7"/>
        <v>0</v>
      </c>
      <c r="N26" s="49">
        <f t="shared" si="7"/>
        <v>37591946</v>
      </c>
      <c r="O26" s="49">
        <f t="shared" si="7"/>
        <v>3239572</v>
      </c>
      <c r="P26" s="49">
        <f t="shared" si="7"/>
        <v>140446</v>
      </c>
      <c r="Q26" s="49">
        <f t="shared" si="7"/>
        <v>0</v>
      </c>
      <c r="R26" s="49">
        <f t="shared" si="7"/>
        <v>28962</v>
      </c>
      <c r="S26" s="49">
        <f t="shared" si="7"/>
        <v>31976</v>
      </c>
      <c r="T26" s="49">
        <f t="shared" si="7"/>
        <v>12166</v>
      </c>
      <c r="U26" s="49">
        <f t="shared" si="7"/>
        <v>8454</v>
      </c>
      <c r="V26" s="49">
        <f t="shared" si="7"/>
        <v>0</v>
      </c>
      <c r="W26" s="49">
        <f t="shared" si="7"/>
        <v>3264868</v>
      </c>
      <c r="X26" s="49">
        <f t="shared" si="7"/>
        <v>0</v>
      </c>
      <c r="Y26" s="49">
        <f>SUM(Y24:Y25)</f>
        <v>0</v>
      </c>
      <c r="Z26" s="49">
        <f t="shared" si="7"/>
        <v>9855870</v>
      </c>
      <c r="AA26" s="49">
        <f t="shared" si="7"/>
        <v>21753591</v>
      </c>
      <c r="AB26" s="49">
        <f t="shared" si="7"/>
        <v>2318128</v>
      </c>
      <c r="AC26" s="49">
        <f t="shared" si="7"/>
        <v>0</v>
      </c>
      <c r="AD26" s="49">
        <f t="shared" si="7"/>
        <v>27345154</v>
      </c>
      <c r="AE26" s="49">
        <f t="shared" si="7"/>
        <v>0</v>
      </c>
      <c r="AF26" s="49">
        <f t="shared" si="7"/>
        <v>0</v>
      </c>
      <c r="AG26" s="49">
        <f t="shared" si="7"/>
        <v>34016</v>
      </c>
      <c r="AH26" s="49">
        <f t="shared" si="7"/>
        <v>32853</v>
      </c>
      <c r="AI26" s="49">
        <f aca="true" t="shared" si="8" ref="AI26:BN26">SUM(AI24:AI25)</f>
        <v>797436</v>
      </c>
      <c r="AJ26" s="49">
        <f t="shared" si="8"/>
        <v>5213548</v>
      </c>
      <c r="AK26" s="49">
        <f t="shared" si="8"/>
        <v>18763155</v>
      </c>
      <c r="AL26" s="49">
        <f t="shared" si="8"/>
        <v>538661</v>
      </c>
      <c r="AM26" s="49">
        <f t="shared" si="8"/>
        <v>0</v>
      </c>
      <c r="AN26" s="49">
        <f t="shared" si="8"/>
        <v>19575618</v>
      </c>
      <c r="AO26" s="49">
        <f t="shared" si="8"/>
        <v>107870</v>
      </c>
      <c r="AP26" s="49">
        <f t="shared" si="8"/>
        <v>842216</v>
      </c>
      <c r="AQ26" s="49">
        <f t="shared" si="8"/>
        <v>17760973</v>
      </c>
      <c r="AR26" s="49">
        <f t="shared" si="8"/>
        <v>133729</v>
      </c>
      <c r="AS26" s="49">
        <f t="shared" si="8"/>
        <v>19422548.864</v>
      </c>
      <c r="AT26" s="49">
        <f t="shared" si="8"/>
        <v>38671</v>
      </c>
      <c r="AU26" s="49">
        <f t="shared" si="8"/>
        <v>3980730.0949999997</v>
      </c>
      <c r="AV26" s="49">
        <f t="shared" si="8"/>
        <v>3704199.537</v>
      </c>
      <c r="AW26" s="49">
        <f t="shared" si="8"/>
        <v>10040891</v>
      </c>
      <c r="AX26" s="49">
        <f t="shared" si="8"/>
        <v>44334</v>
      </c>
      <c r="AY26" s="49">
        <f t="shared" si="8"/>
        <v>10359389.244718</v>
      </c>
      <c r="AZ26" s="49">
        <f t="shared" si="8"/>
        <v>0</v>
      </c>
      <c r="BA26" s="49">
        <f t="shared" si="8"/>
        <v>19829.4810196786</v>
      </c>
      <c r="BB26" s="49">
        <f t="shared" si="8"/>
        <v>14617388</v>
      </c>
      <c r="BC26" s="49">
        <f t="shared" si="8"/>
        <v>155667</v>
      </c>
      <c r="BD26" s="49">
        <f t="shared" si="8"/>
        <v>4461970</v>
      </c>
      <c r="BE26" s="49">
        <f t="shared" si="8"/>
        <v>400153</v>
      </c>
      <c r="BF26" s="49">
        <f t="shared" si="8"/>
        <v>283308</v>
      </c>
      <c r="BG26" s="49">
        <f t="shared" si="8"/>
        <v>16907</v>
      </c>
      <c r="BH26" s="49">
        <f t="shared" si="8"/>
        <v>0</v>
      </c>
      <c r="BI26" s="49">
        <f t="shared" si="8"/>
        <v>779896</v>
      </c>
      <c r="BJ26" s="49">
        <f t="shared" si="8"/>
        <v>3659436</v>
      </c>
      <c r="BK26" s="49">
        <f t="shared" si="8"/>
        <v>1867551</v>
      </c>
      <c r="BL26" s="49">
        <f t="shared" si="8"/>
        <v>694704</v>
      </c>
      <c r="BM26" s="49">
        <f t="shared" si="8"/>
        <v>0</v>
      </c>
      <c r="BN26" s="49">
        <f t="shared" si="8"/>
        <v>10602130.806000002</v>
      </c>
      <c r="BO26" s="49">
        <f aca="true" t="shared" si="9" ref="BO26:CP26">SUM(BO24:BO25)</f>
        <v>9781981.895</v>
      </c>
      <c r="BP26" s="49">
        <f t="shared" si="9"/>
        <v>15817.91</v>
      </c>
      <c r="BQ26" s="49">
        <f t="shared" si="9"/>
        <v>75099.299</v>
      </c>
      <c r="BR26" s="49">
        <f t="shared" si="9"/>
        <v>7644914</v>
      </c>
      <c r="BS26" s="49">
        <f t="shared" si="9"/>
        <v>68</v>
      </c>
      <c r="BT26" s="49">
        <f t="shared" si="9"/>
        <v>507422</v>
      </c>
      <c r="BU26" s="49">
        <f t="shared" si="9"/>
        <v>2105424</v>
      </c>
      <c r="BV26" s="49">
        <f t="shared" si="9"/>
        <v>0</v>
      </c>
      <c r="BW26" s="49">
        <f t="shared" si="9"/>
        <v>747787</v>
      </c>
      <c r="BX26" s="49">
        <f t="shared" si="9"/>
        <v>691411</v>
      </c>
      <c r="BY26" s="49">
        <f t="shared" si="9"/>
        <v>0</v>
      </c>
      <c r="BZ26" s="49">
        <f t="shared" si="9"/>
        <v>22</v>
      </c>
      <c r="CA26" s="49">
        <f t="shared" si="9"/>
        <v>98535</v>
      </c>
      <c r="CB26" s="49">
        <f t="shared" si="9"/>
        <v>724530</v>
      </c>
      <c r="CC26" s="49">
        <f t="shared" si="9"/>
        <v>363107.4</v>
      </c>
      <c r="CD26" s="49">
        <f t="shared" si="9"/>
        <v>616108</v>
      </c>
      <c r="CE26" s="49">
        <f t="shared" si="9"/>
        <v>991375</v>
      </c>
      <c r="CF26" s="49">
        <f t="shared" si="9"/>
        <v>329904</v>
      </c>
      <c r="CG26" s="49">
        <f t="shared" si="9"/>
        <v>277775</v>
      </c>
      <c r="CH26" s="49">
        <f t="shared" si="9"/>
        <v>287593</v>
      </c>
      <c r="CI26" s="49">
        <f t="shared" si="9"/>
        <v>147074</v>
      </c>
      <c r="CJ26" s="49">
        <f t="shared" si="9"/>
        <v>900</v>
      </c>
      <c r="CK26" s="49">
        <f t="shared" si="9"/>
        <v>104715</v>
      </c>
      <c r="CL26" s="49">
        <f t="shared" si="9"/>
        <v>0</v>
      </c>
      <c r="CM26" s="49">
        <f t="shared" si="9"/>
        <v>8471</v>
      </c>
      <c r="CN26" s="49">
        <f t="shared" si="9"/>
        <v>36912</v>
      </c>
      <c r="CO26" s="49">
        <f t="shared" si="9"/>
        <v>900</v>
      </c>
      <c r="CP26" s="49">
        <f t="shared" si="9"/>
        <v>0</v>
      </c>
      <c r="CR26" s="49">
        <f>SUM(CR24:CR25)</f>
        <v>593648710.0377378</v>
      </c>
    </row>
    <row r="28" ht="12.75" customHeight="1">
      <c r="A28" s="49" t="s">
        <v>517</v>
      </c>
    </row>
    <row r="29" spans="2:96" ht="12.75" customHeight="1">
      <c r="B29" s="52" t="s">
        <v>518</v>
      </c>
      <c r="C29" s="52">
        <v>16780.653</v>
      </c>
      <c r="D29" s="52">
        <v>1146479.052</v>
      </c>
      <c r="E29" s="52">
        <v>95136.968</v>
      </c>
      <c r="F29" s="52">
        <v>67728.001</v>
      </c>
      <c r="G29" s="52">
        <v>442461.942</v>
      </c>
      <c r="H29" s="52">
        <v>1529706</v>
      </c>
      <c r="I29" s="52">
        <v>36348</v>
      </c>
      <c r="J29" s="52">
        <v>987739</v>
      </c>
      <c r="K29" s="52">
        <v>103021</v>
      </c>
      <c r="L29" s="52">
        <v>87433</v>
      </c>
      <c r="M29" s="52">
        <v>21511</v>
      </c>
      <c r="N29" s="52">
        <v>373785</v>
      </c>
      <c r="O29" s="52">
        <v>32212</v>
      </c>
      <c r="P29" s="52">
        <v>505</v>
      </c>
      <c r="Q29" s="52">
        <v>6301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236990</v>
      </c>
      <c r="X29" s="52">
        <v>100268</v>
      </c>
      <c r="Y29" s="52">
        <v>0</v>
      </c>
      <c r="Z29" s="52">
        <v>193187</v>
      </c>
      <c r="AA29" s="52">
        <v>444168</v>
      </c>
      <c r="AB29" s="52">
        <v>117527</v>
      </c>
      <c r="AC29" s="52">
        <v>683767</v>
      </c>
      <c r="AD29" s="52">
        <v>754598</v>
      </c>
      <c r="AE29" s="52">
        <v>9326</v>
      </c>
      <c r="AF29" s="52">
        <v>29724</v>
      </c>
      <c r="AG29" s="52">
        <v>11392</v>
      </c>
      <c r="AH29" s="52">
        <v>10082</v>
      </c>
      <c r="AI29" s="52">
        <v>21751</v>
      </c>
      <c r="AJ29" s="52">
        <v>476691</v>
      </c>
      <c r="AK29" s="52">
        <v>103690</v>
      </c>
      <c r="AL29" s="52">
        <v>12112</v>
      </c>
      <c r="AM29" s="52">
        <v>499422</v>
      </c>
      <c r="AN29" s="52">
        <v>1090322</v>
      </c>
      <c r="AO29" s="52">
        <v>0</v>
      </c>
      <c r="AP29" s="52">
        <v>0</v>
      </c>
      <c r="AQ29" s="52">
        <v>413562</v>
      </c>
      <c r="AR29" s="52">
        <v>15145</v>
      </c>
      <c r="AS29" s="52">
        <v>756057.485</v>
      </c>
      <c r="AT29" s="52">
        <v>10316</v>
      </c>
      <c r="AU29" s="52">
        <v>299380.995237063</v>
      </c>
      <c r="AV29" s="52">
        <v>177144.28111565873</v>
      </c>
      <c r="AW29" s="52">
        <v>325402</v>
      </c>
      <c r="AX29" s="52">
        <v>343</v>
      </c>
      <c r="AY29" s="52">
        <v>325756.5827623</v>
      </c>
      <c r="AZ29" s="52">
        <v>44547.76248333636</v>
      </c>
      <c r="BA29" s="52">
        <v>1837.7371110509625</v>
      </c>
      <c r="BB29" s="52">
        <v>54265</v>
      </c>
      <c r="BC29" s="52">
        <v>5831</v>
      </c>
      <c r="BD29" s="52">
        <v>1106995</v>
      </c>
      <c r="BE29" s="52">
        <v>99277</v>
      </c>
      <c r="BF29" s="52">
        <v>2363</v>
      </c>
      <c r="BG29" s="52">
        <v>1736</v>
      </c>
      <c r="BH29" s="52">
        <v>49321</v>
      </c>
      <c r="BI29" s="52">
        <v>41987</v>
      </c>
      <c r="BJ29" s="52">
        <v>135394</v>
      </c>
      <c r="BK29" s="52">
        <v>94256</v>
      </c>
      <c r="BL29" s="52">
        <v>91325</v>
      </c>
      <c r="BM29" s="52">
        <v>2297714</v>
      </c>
      <c r="BN29" s="52">
        <v>2657.181</v>
      </c>
      <c r="BO29" s="52">
        <v>820129.826</v>
      </c>
      <c r="BP29" s="52">
        <v>0</v>
      </c>
      <c r="BQ29" s="52">
        <v>0</v>
      </c>
      <c r="BR29" s="52">
        <v>146423</v>
      </c>
      <c r="BS29" s="52">
        <v>103613</v>
      </c>
      <c r="BT29" s="52">
        <v>376988</v>
      </c>
      <c r="BU29" s="52">
        <v>34179</v>
      </c>
      <c r="BV29" s="52">
        <v>85777</v>
      </c>
      <c r="BW29" s="52">
        <v>434782</v>
      </c>
      <c r="BX29" s="52">
        <v>70480</v>
      </c>
      <c r="BY29" s="52">
        <v>2663</v>
      </c>
      <c r="BZ29" s="52">
        <v>49118</v>
      </c>
      <c r="CA29" s="52">
        <v>9928</v>
      </c>
      <c r="CB29" s="52">
        <v>65910</v>
      </c>
      <c r="CC29" s="52">
        <v>15283.8</v>
      </c>
      <c r="CD29" s="52">
        <v>1072</v>
      </c>
      <c r="CE29" s="52">
        <v>11437</v>
      </c>
      <c r="CF29" s="52">
        <v>37514</v>
      </c>
      <c r="CG29" s="52">
        <v>15493</v>
      </c>
      <c r="CH29" s="52">
        <v>71902</v>
      </c>
      <c r="CI29" s="52">
        <v>12984</v>
      </c>
      <c r="CJ29" s="52">
        <v>560253</v>
      </c>
      <c r="CK29" s="52">
        <v>15928</v>
      </c>
      <c r="CL29" s="52">
        <v>23411</v>
      </c>
      <c r="CM29" s="52">
        <v>35377</v>
      </c>
      <c r="CN29" s="52">
        <v>46904</v>
      </c>
      <c r="CO29" s="52">
        <v>61880</v>
      </c>
      <c r="CP29" s="52">
        <v>13944</v>
      </c>
      <c r="CR29" s="49">
        <f>SUM(C29:CP29)</f>
        <v>19218152.26670941</v>
      </c>
    </row>
    <row r="30" spans="2:96" s="49" customFormat="1" ht="12.75" customHeight="1">
      <c r="B30" s="256" t="s">
        <v>511</v>
      </c>
      <c r="C30" s="49">
        <f aca="true" t="shared" si="10" ref="C30:AH30">SUM(C29)</f>
        <v>16780.653</v>
      </c>
      <c r="D30" s="49">
        <f t="shared" si="10"/>
        <v>1146479.052</v>
      </c>
      <c r="E30" s="49">
        <f t="shared" si="10"/>
        <v>95136.968</v>
      </c>
      <c r="F30" s="49">
        <f t="shared" si="10"/>
        <v>67728.001</v>
      </c>
      <c r="G30" s="49">
        <f t="shared" si="10"/>
        <v>442461.942</v>
      </c>
      <c r="H30" s="49">
        <f t="shared" si="10"/>
        <v>1529706</v>
      </c>
      <c r="I30" s="49">
        <f t="shared" si="10"/>
        <v>36348</v>
      </c>
      <c r="J30" s="49">
        <f t="shared" si="10"/>
        <v>987739</v>
      </c>
      <c r="K30" s="49">
        <f t="shared" si="10"/>
        <v>103021</v>
      </c>
      <c r="L30" s="49">
        <f t="shared" si="10"/>
        <v>87433</v>
      </c>
      <c r="M30" s="49">
        <f t="shared" si="10"/>
        <v>21511</v>
      </c>
      <c r="N30" s="49">
        <f t="shared" si="10"/>
        <v>373785</v>
      </c>
      <c r="O30" s="49">
        <f t="shared" si="10"/>
        <v>32212</v>
      </c>
      <c r="P30" s="49">
        <f t="shared" si="10"/>
        <v>505</v>
      </c>
      <c r="Q30" s="49">
        <f t="shared" si="10"/>
        <v>6301</v>
      </c>
      <c r="R30" s="49">
        <f t="shared" si="10"/>
        <v>0</v>
      </c>
      <c r="S30" s="49">
        <f t="shared" si="10"/>
        <v>0</v>
      </c>
      <c r="T30" s="49">
        <f t="shared" si="10"/>
        <v>0</v>
      </c>
      <c r="U30" s="49">
        <f t="shared" si="10"/>
        <v>0</v>
      </c>
      <c r="V30" s="49">
        <f t="shared" si="10"/>
        <v>0</v>
      </c>
      <c r="W30" s="49">
        <f t="shared" si="10"/>
        <v>236990</v>
      </c>
      <c r="X30" s="49">
        <f t="shared" si="10"/>
        <v>100268</v>
      </c>
      <c r="Y30" s="49">
        <f>SUM(Y29)</f>
        <v>0</v>
      </c>
      <c r="Z30" s="49">
        <f t="shared" si="10"/>
        <v>193187</v>
      </c>
      <c r="AA30" s="49">
        <f t="shared" si="10"/>
        <v>444168</v>
      </c>
      <c r="AB30" s="49">
        <f t="shared" si="10"/>
        <v>117527</v>
      </c>
      <c r="AC30" s="49">
        <f t="shared" si="10"/>
        <v>683767</v>
      </c>
      <c r="AD30" s="49">
        <f t="shared" si="10"/>
        <v>754598</v>
      </c>
      <c r="AE30" s="49">
        <f t="shared" si="10"/>
        <v>9326</v>
      </c>
      <c r="AF30" s="49">
        <f t="shared" si="10"/>
        <v>29724</v>
      </c>
      <c r="AG30" s="49">
        <f t="shared" si="10"/>
        <v>11392</v>
      </c>
      <c r="AH30" s="49">
        <f t="shared" si="10"/>
        <v>10082</v>
      </c>
      <c r="AI30" s="49">
        <f aca="true" t="shared" si="11" ref="AI30:BN30">SUM(AI29)</f>
        <v>21751</v>
      </c>
      <c r="AJ30" s="49">
        <f t="shared" si="11"/>
        <v>476691</v>
      </c>
      <c r="AK30" s="49">
        <f t="shared" si="11"/>
        <v>103690</v>
      </c>
      <c r="AL30" s="49">
        <f t="shared" si="11"/>
        <v>12112</v>
      </c>
      <c r="AM30" s="49">
        <f t="shared" si="11"/>
        <v>499422</v>
      </c>
      <c r="AN30" s="49">
        <f t="shared" si="11"/>
        <v>1090322</v>
      </c>
      <c r="AO30" s="49">
        <f t="shared" si="11"/>
        <v>0</v>
      </c>
      <c r="AP30" s="49">
        <f t="shared" si="11"/>
        <v>0</v>
      </c>
      <c r="AQ30" s="49">
        <f t="shared" si="11"/>
        <v>413562</v>
      </c>
      <c r="AR30" s="49">
        <f t="shared" si="11"/>
        <v>15145</v>
      </c>
      <c r="AS30" s="49">
        <f t="shared" si="11"/>
        <v>756057.485</v>
      </c>
      <c r="AT30" s="49">
        <f t="shared" si="11"/>
        <v>10316</v>
      </c>
      <c r="AU30" s="49">
        <f t="shared" si="11"/>
        <v>299380.995237063</v>
      </c>
      <c r="AV30" s="49">
        <f t="shared" si="11"/>
        <v>177144.28111565873</v>
      </c>
      <c r="AW30" s="49">
        <f t="shared" si="11"/>
        <v>325402</v>
      </c>
      <c r="AX30" s="49">
        <f t="shared" si="11"/>
        <v>343</v>
      </c>
      <c r="AY30" s="49">
        <f t="shared" si="11"/>
        <v>325756.5827623</v>
      </c>
      <c r="AZ30" s="49">
        <f t="shared" si="11"/>
        <v>44547.76248333636</v>
      </c>
      <c r="BA30" s="49">
        <f t="shared" si="11"/>
        <v>1837.7371110509625</v>
      </c>
      <c r="BB30" s="49">
        <f t="shared" si="11"/>
        <v>54265</v>
      </c>
      <c r="BC30" s="49">
        <f t="shared" si="11"/>
        <v>5831</v>
      </c>
      <c r="BD30" s="49">
        <f t="shared" si="11"/>
        <v>1106995</v>
      </c>
      <c r="BE30" s="49">
        <f t="shared" si="11"/>
        <v>99277</v>
      </c>
      <c r="BF30" s="49">
        <f t="shared" si="11"/>
        <v>2363</v>
      </c>
      <c r="BG30" s="49">
        <f t="shared" si="11"/>
        <v>1736</v>
      </c>
      <c r="BH30" s="49">
        <f t="shared" si="11"/>
        <v>49321</v>
      </c>
      <c r="BI30" s="49">
        <f t="shared" si="11"/>
        <v>41987</v>
      </c>
      <c r="BJ30" s="49">
        <f t="shared" si="11"/>
        <v>135394</v>
      </c>
      <c r="BK30" s="49">
        <f t="shared" si="11"/>
        <v>94256</v>
      </c>
      <c r="BL30" s="49">
        <f t="shared" si="11"/>
        <v>91325</v>
      </c>
      <c r="BM30" s="49">
        <f t="shared" si="11"/>
        <v>2297714</v>
      </c>
      <c r="BN30" s="49">
        <f t="shared" si="11"/>
        <v>2657.181</v>
      </c>
      <c r="BO30" s="49">
        <f aca="true" t="shared" si="12" ref="BO30:CP30">SUM(BO29)</f>
        <v>820129.826</v>
      </c>
      <c r="BP30" s="49">
        <f t="shared" si="12"/>
        <v>0</v>
      </c>
      <c r="BQ30" s="49">
        <f t="shared" si="12"/>
        <v>0</v>
      </c>
      <c r="BR30" s="49">
        <f t="shared" si="12"/>
        <v>146423</v>
      </c>
      <c r="BS30" s="49">
        <f t="shared" si="12"/>
        <v>103613</v>
      </c>
      <c r="BT30" s="49">
        <f t="shared" si="12"/>
        <v>376988</v>
      </c>
      <c r="BU30" s="49">
        <f t="shared" si="12"/>
        <v>34179</v>
      </c>
      <c r="BV30" s="49">
        <f t="shared" si="12"/>
        <v>85777</v>
      </c>
      <c r="BW30" s="49">
        <f t="shared" si="12"/>
        <v>434782</v>
      </c>
      <c r="BX30" s="49">
        <f t="shared" si="12"/>
        <v>70480</v>
      </c>
      <c r="BY30" s="49">
        <f t="shared" si="12"/>
        <v>2663</v>
      </c>
      <c r="BZ30" s="49">
        <f t="shared" si="12"/>
        <v>49118</v>
      </c>
      <c r="CA30" s="49">
        <f t="shared" si="12"/>
        <v>9928</v>
      </c>
      <c r="CB30" s="49">
        <f t="shared" si="12"/>
        <v>65910</v>
      </c>
      <c r="CC30" s="49">
        <f t="shared" si="12"/>
        <v>15283.8</v>
      </c>
      <c r="CD30" s="49">
        <f t="shared" si="12"/>
        <v>1072</v>
      </c>
      <c r="CE30" s="49">
        <f t="shared" si="12"/>
        <v>11437</v>
      </c>
      <c r="CF30" s="49">
        <f t="shared" si="12"/>
        <v>37514</v>
      </c>
      <c r="CG30" s="49">
        <f t="shared" si="12"/>
        <v>15493</v>
      </c>
      <c r="CH30" s="49">
        <f t="shared" si="12"/>
        <v>71902</v>
      </c>
      <c r="CI30" s="49">
        <f t="shared" si="12"/>
        <v>12984</v>
      </c>
      <c r="CJ30" s="49">
        <f t="shared" si="12"/>
        <v>560253</v>
      </c>
      <c r="CK30" s="49">
        <f t="shared" si="12"/>
        <v>15928</v>
      </c>
      <c r="CL30" s="49">
        <f t="shared" si="12"/>
        <v>23411</v>
      </c>
      <c r="CM30" s="49">
        <f t="shared" si="12"/>
        <v>35377</v>
      </c>
      <c r="CN30" s="49">
        <f t="shared" si="12"/>
        <v>46904</v>
      </c>
      <c r="CO30" s="49">
        <f t="shared" si="12"/>
        <v>61880</v>
      </c>
      <c r="CP30" s="49">
        <f t="shared" si="12"/>
        <v>13944</v>
      </c>
      <c r="CR30" s="49">
        <f>SUM(CR29)</f>
        <v>19218152.26670941</v>
      </c>
    </row>
    <row r="32" spans="2:96" ht="12.75" customHeight="1">
      <c r="B32" s="256" t="s">
        <v>519</v>
      </c>
      <c r="C32" s="49">
        <f aca="true" t="shared" si="13" ref="C32:AH32">+C12+C21+C26+C30</f>
        <v>186632179.548</v>
      </c>
      <c r="D32" s="49">
        <f t="shared" si="13"/>
        <v>91555627.632</v>
      </c>
      <c r="E32" s="49">
        <f t="shared" si="13"/>
        <v>3988400.229</v>
      </c>
      <c r="F32" s="49">
        <f t="shared" si="13"/>
        <v>1268140.5929999999</v>
      </c>
      <c r="G32" s="49">
        <f t="shared" si="13"/>
        <v>442461.942</v>
      </c>
      <c r="H32" s="49">
        <f t="shared" si="13"/>
        <v>231976577</v>
      </c>
      <c r="I32" s="49">
        <f t="shared" si="13"/>
        <v>5512110</v>
      </c>
      <c r="J32" s="49">
        <f t="shared" si="13"/>
        <v>214839844.41900003</v>
      </c>
      <c r="K32" s="49">
        <f t="shared" si="13"/>
        <v>782848.735</v>
      </c>
      <c r="L32" s="49">
        <f t="shared" si="13"/>
        <v>1168566.3460000001</v>
      </c>
      <c r="M32" s="49">
        <f t="shared" si="13"/>
        <v>21511</v>
      </c>
      <c r="N32" s="49">
        <f t="shared" si="13"/>
        <v>78705861</v>
      </c>
      <c r="O32" s="49">
        <f t="shared" si="13"/>
        <v>6782659</v>
      </c>
      <c r="P32" s="49">
        <f t="shared" si="13"/>
        <v>342357</v>
      </c>
      <c r="Q32" s="49">
        <f t="shared" si="13"/>
        <v>2178021</v>
      </c>
      <c r="R32" s="49">
        <f t="shared" si="13"/>
        <v>67276</v>
      </c>
      <c r="S32" s="49">
        <f t="shared" si="13"/>
        <v>94624</v>
      </c>
      <c r="T32" s="49">
        <f t="shared" si="13"/>
        <v>55398</v>
      </c>
      <c r="U32" s="49">
        <f t="shared" si="13"/>
        <v>74986</v>
      </c>
      <c r="V32" s="49">
        <f t="shared" si="13"/>
        <v>4919</v>
      </c>
      <c r="W32" s="49">
        <f t="shared" si="13"/>
        <v>7537537</v>
      </c>
      <c r="X32" s="49">
        <f t="shared" si="13"/>
        <v>5720336</v>
      </c>
      <c r="Y32" s="49">
        <f>+Y12+Y21+Y26+Y30</f>
        <v>0</v>
      </c>
      <c r="Z32" s="49">
        <f t="shared" si="13"/>
        <v>16720473</v>
      </c>
      <c r="AA32" s="49">
        <f t="shared" si="13"/>
        <v>42128346</v>
      </c>
      <c r="AB32" s="49">
        <f t="shared" si="13"/>
        <v>9598914</v>
      </c>
      <c r="AC32" s="49">
        <f t="shared" si="13"/>
        <v>1392469</v>
      </c>
      <c r="AD32" s="49">
        <f t="shared" si="13"/>
        <v>71465597</v>
      </c>
      <c r="AE32" s="49">
        <f t="shared" si="13"/>
        <v>9326</v>
      </c>
      <c r="AF32" s="49">
        <f t="shared" si="13"/>
        <v>724896</v>
      </c>
      <c r="AG32" s="49">
        <f t="shared" si="13"/>
        <v>156724</v>
      </c>
      <c r="AH32" s="49">
        <f t="shared" si="13"/>
        <v>117436</v>
      </c>
      <c r="AI32" s="49">
        <f aca="true" t="shared" si="14" ref="AI32:BN32">+AI12+AI21+AI26+AI30</f>
        <v>2083867</v>
      </c>
      <c r="AJ32" s="49">
        <f t="shared" si="14"/>
        <v>11465306</v>
      </c>
      <c r="AK32" s="49">
        <f t="shared" si="14"/>
        <v>40951764</v>
      </c>
      <c r="AL32" s="49">
        <f t="shared" si="14"/>
        <v>2769394</v>
      </c>
      <c r="AM32" s="49">
        <f t="shared" si="14"/>
        <v>4448190</v>
      </c>
      <c r="AN32" s="49">
        <f t="shared" si="14"/>
        <v>53856855</v>
      </c>
      <c r="AO32" s="49">
        <f t="shared" si="14"/>
        <v>419209</v>
      </c>
      <c r="AP32" s="49">
        <f t="shared" si="14"/>
        <v>1638590</v>
      </c>
      <c r="AQ32" s="49">
        <f t="shared" si="14"/>
        <v>50001732</v>
      </c>
      <c r="AR32" s="49">
        <f t="shared" si="14"/>
        <v>330245</v>
      </c>
      <c r="AS32" s="49">
        <f t="shared" si="14"/>
        <v>48614886.02599999</v>
      </c>
      <c r="AT32" s="49">
        <f t="shared" si="14"/>
        <v>100138</v>
      </c>
      <c r="AU32" s="49">
        <f t="shared" si="14"/>
        <v>24975615.929714147</v>
      </c>
      <c r="AV32" s="49">
        <f t="shared" si="14"/>
        <v>9936321.068823239</v>
      </c>
      <c r="AW32" s="49">
        <f t="shared" si="14"/>
        <v>26945661</v>
      </c>
      <c r="AX32" s="49">
        <f t="shared" si="14"/>
        <v>88140</v>
      </c>
      <c r="AY32" s="49">
        <f t="shared" si="14"/>
        <v>25641262.960480303</v>
      </c>
      <c r="AZ32" s="49">
        <f t="shared" si="14"/>
        <v>1391401.5659999996</v>
      </c>
      <c r="BA32" s="49">
        <f t="shared" si="14"/>
        <v>36343.33200000001</v>
      </c>
      <c r="BB32" s="49">
        <f t="shared" si="14"/>
        <v>26653781</v>
      </c>
      <c r="BC32" s="49">
        <f t="shared" si="14"/>
        <v>315802</v>
      </c>
      <c r="BD32" s="49">
        <f t="shared" si="14"/>
        <v>20382667</v>
      </c>
      <c r="BE32" s="49">
        <f t="shared" si="14"/>
        <v>1827934</v>
      </c>
      <c r="BF32" s="49">
        <f t="shared" si="14"/>
        <v>590249</v>
      </c>
      <c r="BG32" s="49">
        <f t="shared" si="14"/>
        <v>88443</v>
      </c>
      <c r="BH32" s="49">
        <f t="shared" si="14"/>
        <v>49321</v>
      </c>
      <c r="BI32" s="49">
        <f t="shared" si="14"/>
        <v>2382543</v>
      </c>
      <c r="BJ32" s="49">
        <f t="shared" si="14"/>
        <v>8173780</v>
      </c>
      <c r="BK32" s="49">
        <f t="shared" si="14"/>
        <v>5648700</v>
      </c>
      <c r="BL32" s="49">
        <f t="shared" si="14"/>
        <v>3985089</v>
      </c>
      <c r="BM32" s="49">
        <f t="shared" si="14"/>
        <v>2297714</v>
      </c>
      <c r="BN32" s="49">
        <f t="shared" si="14"/>
        <v>22344596.762000002</v>
      </c>
      <c r="BO32" s="49">
        <f aca="true" t="shared" si="15" ref="BO32:CP32">+BO12+BO21+BO26+BO30</f>
        <v>21354683.506</v>
      </c>
      <c r="BP32" s="49">
        <f t="shared" si="15"/>
        <v>38345.094</v>
      </c>
      <c r="BQ32" s="49">
        <f t="shared" si="15"/>
        <v>122531.98</v>
      </c>
      <c r="BR32" s="49">
        <f t="shared" si="15"/>
        <v>20884410</v>
      </c>
      <c r="BS32" s="49">
        <f t="shared" si="15"/>
        <v>13994184</v>
      </c>
      <c r="BT32" s="49">
        <f t="shared" si="15"/>
        <v>9289957</v>
      </c>
      <c r="BU32" s="49">
        <f t="shared" si="15"/>
        <v>11942637</v>
      </c>
      <c r="BV32" s="49">
        <f t="shared" si="15"/>
        <v>6799565</v>
      </c>
      <c r="BW32" s="49">
        <f t="shared" si="15"/>
        <v>3876924</v>
      </c>
      <c r="BX32" s="49">
        <f t="shared" si="15"/>
        <v>3648467</v>
      </c>
      <c r="BY32" s="49">
        <f t="shared" si="15"/>
        <v>169689</v>
      </c>
      <c r="BZ32" s="49">
        <f t="shared" si="15"/>
        <v>2848565</v>
      </c>
      <c r="CA32" s="49">
        <f t="shared" si="15"/>
        <v>319378</v>
      </c>
      <c r="CB32" s="49">
        <f t="shared" si="15"/>
        <v>2214181</v>
      </c>
      <c r="CC32" s="49">
        <f t="shared" si="15"/>
        <v>2379833.3</v>
      </c>
      <c r="CD32" s="49">
        <f t="shared" si="15"/>
        <v>2373983</v>
      </c>
      <c r="CE32" s="49">
        <f t="shared" si="15"/>
        <v>2169065</v>
      </c>
      <c r="CF32" s="49">
        <f t="shared" si="15"/>
        <v>1764410</v>
      </c>
      <c r="CG32" s="49">
        <f t="shared" si="15"/>
        <v>1115432</v>
      </c>
      <c r="CH32" s="49">
        <f t="shared" si="15"/>
        <v>802315</v>
      </c>
      <c r="CI32" s="49">
        <f t="shared" si="15"/>
        <v>778769</v>
      </c>
      <c r="CJ32" s="49">
        <f t="shared" si="15"/>
        <v>728808</v>
      </c>
      <c r="CK32" s="49">
        <f t="shared" si="15"/>
        <v>547161</v>
      </c>
      <c r="CL32" s="49">
        <f t="shared" si="15"/>
        <v>470205</v>
      </c>
      <c r="CM32" s="49">
        <f t="shared" si="15"/>
        <v>450937</v>
      </c>
      <c r="CN32" s="49">
        <f t="shared" si="15"/>
        <v>446705</v>
      </c>
      <c r="CO32" s="49">
        <f t="shared" si="15"/>
        <v>64710</v>
      </c>
      <c r="CP32" s="49">
        <f t="shared" si="15"/>
        <v>42744</v>
      </c>
      <c r="CQ32" s="49"/>
      <c r="CR32" s="49">
        <f>+CR12+CR21+CR26+CR30</f>
        <v>1494140558.969018</v>
      </c>
    </row>
    <row r="35" ht="13.5" customHeight="1">
      <c r="A35" s="49"/>
    </row>
    <row r="36" spans="2:96" ht="30" customHeight="1">
      <c r="B36" s="350" t="s">
        <v>611</v>
      </c>
      <c r="C36" s="52">
        <v>41749249.471</v>
      </c>
      <c r="D36" s="52">
        <v>22180279.926000003</v>
      </c>
      <c r="E36" s="52">
        <v>3029098.585</v>
      </c>
      <c r="F36" s="52">
        <v>1014343.914</v>
      </c>
      <c r="G36" s="52">
        <v>0</v>
      </c>
      <c r="H36" s="52">
        <v>59914296</v>
      </c>
      <c r="I36" s="52">
        <v>1423654</v>
      </c>
      <c r="J36" s="52">
        <v>0</v>
      </c>
      <c r="K36" s="52">
        <v>0</v>
      </c>
      <c r="L36" s="52">
        <v>0</v>
      </c>
      <c r="M36" s="52">
        <v>0</v>
      </c>
      <c r="N36" s="52">
        <v>24136669</v>
      </c>
      <c r="O36" s="52">
        <v>2080033</v>
      </c>
      <c r="P36" s="52">
        <v>65335</v>
      </c>
      <c r="Q36" s="52">
        <v>0</v>
      </c>
      <c r="R36" s="52">
        <v>18505</v>
      </c>
      <c r="S36" s="52">
        <v>17191</v>
      </c>
      <c r="T36" s="52">
        <v>7715</v>
      </c>
      <c r="U36" s="52">
        <v>5341</v>
      </c>
      <c r="V36" s="52">
        <v>0</v>
      </c>
      <c r="W36" s="52">
        <v>4885949</v>
      </c>
      <c r="X36" s="52">
        <v>1309631</v>
      </c>
      <c r="Y36" s="52">
        <v>0</v>
      </c>
      <c r="Z36" s="52">
        <v>11928467</v>
      </c>
      <c r="AA36" s="52">
        <v>29342002</v>
      </c>
      <c r="AB36" s="52">
        <v>5774509</v>
      </c>
      <c r="AC36" s="52">
        <v>1380186</v>
      </c>
      <c r="AD36" s="52">
        <v>6428630</v>
      </c>
      <c r="AE36" s="52">
        <v>0</v>
      </c>
      <c r="AF36" s="52">
        <v>0</v>
      </c>
      <c r="AG36" s="52">
        <v>0</v>
      </c>
      <c r="AH36" s="52">
        <v>0</v>
      </c>
      <c r="AI36" s="52">
        <v>187474</v>
      </c>
      <c r="AJ36" s="52">
        <v>5895451</v>
      </c>
      <c r="AK36" s="52">
        <v>23475795</v>
      </c>
      <c r="AL36" s="52">
        <v>1348081</v>
      </c>
      <c r="AM36" s="52">
        <v>8669</v>
      </c>
      <c r="AN36" s="52">
        <v>13362469</v>
      </c>
      <c r="AO36" s="52">
        <v>66100</v>
      </c>
      <c r="AP36" s="52">
        <v>523528</v>
      </c>
      <c r="AQ36" s="52">
        <v>11521246</v>
      </c>
      <c r="AR36" s="52">
        <v>330245</v>
      </c>
      <c r="AS36" s="52">
        <v>16782742.041</v>
      </c>
      <c r="AT36" s="52">
        <v>99946.954</v>
      </c>
      <c r="AU36" s="52">
        <v>11282927</v>
      </c>
      <c r="AV36" s="52">
        <v>5456223</v>
      </c>
      <c r="AW36" s="52">
        <v>11597785</v>
      </c>
      <c r="AX36" s="52">
        <v>87632</v>
      </c>
      <c r="AY36" s="52">
        <v>4934117.839</v>
      </c>
      <c r="AZ36" s="52">
        <v>1391276.332</v>
      </c>
      <c r="BA36" s="52">
        <v>36338.616</v>
      </c>
      <c r="BB36" s="52">
        <v>5932454</v>
      </c>
      <c r="BC36" s="52">
        <v>160857</v>
      </c>
      <c r="BD36" s="52">
        <v>6801900</v>
      </c>
      <c r="BE36" s="52">
        <v>609999</v>
      </c>
      <c r="BF36" s="52">
        <v>477778</v>
      </c>
      <c r="BG36" s="52">
        <v>86312</v>
      </c>
      <c r="BH36" s="52">
        <v>0</v>
      </c>
      <c r="BI36" s="52">
        <v>2157968</v>
      </c>
      <c r="BJ36" s="52">
        <v>7435933</v>
      </c>
      <c r="BK36" s="52">
        <v>4985759</v>
      </c>
      <c r="BL36" s="52">
        <v>3760418</v>
      </c>
      <c r="BM36" s="52">
        <v>0</v>
      </c>
      <c r="BN36" s="52">
        <v>5616796.6620000005</v>
      </c>
      <c r="BO36" s="52">
        <v>6007598.038</v>
      </c>
      <c r="BP36" s="52">
        <v>10073.359</v>
      </c>
      <c r="BQ36" s="52">
        <v>50894.387</v>
      </c>
      <c r="BR36" s="52">
        <v>16384025</v>
      </c>
      <c r="BS36" s="52">
        <v>9421133</v>
      </c>
      <c r="BT36" s="52">
        <v>1991454</v>
      </c>
      <c r="BU36" s="52">
        <v>605551</v>
      </c>
      <c r="BV36" s="52">
        <v>5058112</v>
      </c>
      <c r="BW36" s="52">
        <v>1792542</v>
      </c>
      <c r="BX36" s="52">
        <v>2837209</v>
      </c>
      <c r="BY36" s="52">
        <v>116223</v>
      </c>
      <c r="BZ36" s="52">
        <v>2305731</v>
      </c>
      <c r="CA36" s="52">
        <v>288229</v>
      </c>
      <c r="CB36" s="52">
        <v>1920589</v>
      </c>
      <c r="CC36" s="52">
        <v>1393946.4</v>
      </c>
      <c r="CD36" s="52">
        <v>1049705</v>
      </c>
      <c r="CE36" s="52">
        <v>563136</v>
      </c>
      <c r="CF36" s="52">
        <v>1556800</v>
      </c>
      <c r="CG36" s="52">
        <v>942736</v>
      </c>
      <c r="CH36" s="52">
        <v>497215</v>
      </c>
      <c r="CI36" s="52">
        <v>604058</v>
      </c>
      <c r="CJ36" s="52">
        <v>0</v>
      </c>
      <c r="CK36" s="52">
        <v>496032</v>
      </c>
      <c r="CL36" s="52">
        <v>25350</v>
      </c>
      <c r="CM36" s="52">
        <v>160336</v>
      </c>
      <c r="CN36" s="52">
        <v>177819</v>
      </c>
      <c r="CO36" s="52">
        <v>0</v>
      </c>
      <c r="CP36" s="52">
        <v>0</v>
      </c>
      <c r="CR36" s="49">
        <f>SUM(C36:CP36)</f>
        <v>419361803.52400005</v>
      </c>
    </row>
    <row r="37" spans="2:96" ht="12.75" customHeight="1">
      <c r="B37" s="299" t="s">
        <v>524</v>
      </c>
      <c r="C37" s="52">
        <f aca="true" t="shared" si="16" ref="C37:AH37">SUM(C15:C19)+C25</f>
        <v>6711926.256</v>
      </c>
      <c r="D37" s="52">
        <f t="shared" si="16"/>
        <v>2592261.1089999997</v>
      </c>
      <c r="E37" s="52">
        <f t="shared" si="16"/>
        <v>42444.115000000005</v>
      </c>
      <c r="F37" s="52">
        <f t="shared" si="16"/>
        <v>6361.874</v>
      </c>
      <c r="G37" s="52">
        <f t="shared" si="16"/>
        <v>0</v>
      </c>
      <c r="H37" s="52">
        <f t="shared" si="16"/>
        <v>10516282</v>
      </c>
      <c r="I37" s="52">
        <f t="shared" si="16"/>
        <v>249882</v>
      </c>
      <c r="J37" s="52">
        <f t="shared" si="16"/>
        <v>16535881.427</v>
      </c>
      <c r="K37" s="52">
        <f t="shared" si="16"/>
        <v>0</v>
      </c>
      <c r="L37" s="52">
        <f t="shared" si="16"/>
        <v>0</v>
      </c>
      <c r="M37" s="52">
        <f t="shared" si="16"/>
        <v>0</v>
      </c>
      <c r="N37" s="52">
        <f t="shared" si="16"/>
        <v>3146546</v>
      </c>
      <c r="O37" s="52">
        <f t="shared" si="16"/>
        <v>271160</v>
      </c>
      <c r="P37" s="52">
        <f t="shared" si="16"/>
        <v>16338</v>
      </c>
      <c r="Q37" s="52">
        <f t="shared" si="16"/>
        <v>176171</v>
      </c>
      <c r="R37" s="52">
        <f t="shared" si="16"/>
        <v>3108</v>
      </c>
      <c r="S37" s="52">
        <f t="shared" si="16"/>
        <v>5082</v>
      </c>
      <c r="T37" s="52">
        <f t="shared" si="16"/>
        <v>3507</v>
      </c>
      <c r="U37" s="52">
        <f t="shared" si="16"/>
        <v>5397</v>
      </c>
      <c r="V37" s="52">
        <f t="shared" si="16"/>
        <v>399</v>
      </c>
      <c r="W37" s="52">
        <f t="shared" si="16"/>
        <v>354747</v>
      </c>
      <c r="X37" s="52">
        <f t="shared" si="16"/>
        <v>476967</v>
      </c>
      <c r="Y37" s="52">
        <f>SUM(Y15:Y19)+Y25</f>
        <v>0</v>
      </c>
      <c r="Z37" s="52">
        <f t="shared" si="16"/>
        <v>304068</v>
      </c>
      <c r="AA37" s="52">
        <f t="shared" si="16"/>
        <v>1211949</v>
      </c>
      <c r="AB37" s="52">
        <f t="shared" si="16"/>
        <v>590048</v>
      </c>
      <c r="AC37" s="52">
        <f t="shared" si="16"/>
        <v>71226</v>
      </c>
      <c r="AD37" s="52">
        <f t="shared" si="16"/>
        <v>4691258</v>
      </c>
      <c r="AE37" s="52">
        <f t="shared" si="16"/>
        <v>0</v>
      </c>
      <c r="AF37" s="52">
        <f t="shared" si="16"/>
        <v>47184</v>
      </c>
      <c r="AG37" s="52">
        <f t="shared" si="16"/>
        <v>4526</v>
      </c>
      <c r="AH37" s="52">
        <f t="shared" si="16"/>
        <v>4669</v>
      </c>
      <c r="AI37" s="52">
        <f aca="true" t="shared" si="17" ref="AI37:BN37">SUM(AI15:AI19)+AI25</f>
        <v>136807</v>
      </c>
      <c r="AJ37" s="52">
        <f t="shared" si="17"/>
        <v>288000</v>
      </c>
      <c r="AK37" s="52">
        <f t="shared" si="17"/>
        <v>623655</v>
      </c>
      <c r="AL37" s="52">
        <f t="shared" si="17"/>
        <v>157614</v>
      </c>
      <c r="AM37" s="52">
        <f t="shared" si="17"/>
        <v>168630</v>
      </c>
      <c r="AN37" s="52">
        <f t="shared" si="17"/>
        <v>1886326</v>
      </c>
      <c r="AO37" s="52">
        <f t="shared" si="17"/>
        <v>0</v>
      </c>
      <c r="AP37" s="52">
        <f t="shared" si="17"/>
        <v>0</v>
      </c>
      <c r="AQ37" s="52">
        <f t="shared" si="17"/>
        <v>464960</v>
      </c>
      <c r="AR37" s="52">
        <f t="shared" si="17"/>
        <v>0</v>
      </c>
      <c r="AS37" s="52">
        <f t="shared" si="17"/>
        <v>2704844.885999998</v>
      </c>
      <c r="AT37" s="52">
        <f t="shared" si="17"/>
        <v>3182</v>
      </c>
      <c r="AU37" s="52">
        <f t="shared" si="17"/>
        <v>2416803.433908211</v>
      </c>
      <c r="AV37" s="52">
        <f t="shared" si="17"/>
        <v>471842.47941704124</v>
      </c>
      <c r="AW37" s="52">
        <f t="shared" si="17"/>
        <v>1112677</v>
      </c>
      <c r="AX37" s="52">
        <f t="shared" si="17"/>
        <v>623</v>
      </c>
      <c r="AY37" s="52">
        <f t="shared" si="17"/>
        <v>1414448.6840000001</v>
      </c>
      <c r="AZ37" s="52">
        <f t="shared" si="17"/>
        <v>0</v>
      </c>
      <c r="BA37" s="52">
        <f t="shared" si="17"/>
        <v>0</v>
      </c>
      <c r="BB37" s="52">
        <f t="shared" si="17"/>
        <v>1139886</v>
      </c>
      <c r="BC37" s="52">
        <f t="shared" si="17"/>
        <v>0</v>
      </c>
      <c r="BD37" s="52">
        <f t="shared" si="17"/>
        <v>2137269</v>
      </c>
      <c r="BE37" s="52">
        <f t="shared" si="17"/>
        <v>191671</v>
      </c>
      <c r="BF37" s="52">
        <f t="shared" si="17"/>
        <v>15993</v>
      </c>
      <c r="BG37" s="52">
        <f t="shared" si="17"/>
        <v>4379</v>
      </c>
      <c r="BH37" s="52">
        <f t="shared" si="17"/>
        <v>0</v>
      </c>
      <c r="BI37" s="52">
        <f t="shared" si="17"/>
        <v>157861</v>
      </c>
      <c r="BJ37" s="52">
        <f t="shared" si="17"/>
        <v>475529</v>
      </c>
      <c r="BK37" s="52">
        <f t="shared" si="17"/>
        <v>339724</v>
      </c>
      <c r="BL37" s="52">
        <f t="shared" si="17"/>
        <v>293723</v>
      </c>
      <c r="BM37" s="52">
        <f t="shared" si="17"/>
        <v>0</v>
      </c>
      <c r="BN37" s="52">
        <f t="shared" si="17"/>
        <v>958017.2279999999</v>
      </c>
      <c r="BO37" s="52">
        <f aca="true" t="shared" si="18" ref="BO37:CP37">SUM(BO15:BO19)+BO25</f>
        <v>1277209.6430000002</v>
      </c>
      <c r="BP37" s="52">
        <f t="shared" si="18"/>
        <v>0</v>
      </c>
      <c r="BQ37" s="52">
        <f t="shared" si="18"/>
        <v>0</v>
      </c>
      <c r="BR37" s="52">
        <f t="shared" si="18"/>
        <v>1719150</v>
      </c>
      <c r="BS37" s="52">
        <f t="shared" si="18"/>
        <v>808385</v>
      </c>
      <c r="BT37" s="52">
        <f t="shared" si="18"/>
        <v>61529</v>
      </c>
      <c r="BU37" s="52">
        <f t="shared" si="18"/>
        <v>1536928</v>
      </c>
      <c r="BV37" s="52">
        <f t="shared" si="18"/>
        <v>275031</v>
      </c>
      <c r="BW37" s="52">
        <f t="shared" si="18"/>
        <v>993565</v>
      </c>
      <c r="BX37" s="52">
        <f t="shared" si="18"/>
        <v>289935</v>
      </c>
      <c r="BY37" s="52">
        <f t="shared" si="18"/>
        <v>39968</v>
      </c>
      <c r="BZ37" s="52">
        <f t="shared" si="18"/>
        <v>187278</v>
      </c>
      <c r="CA37" s="52">
        <f t="shared" si="18"/>
        <v>15177</v>
      </c>
      <c r="CB37" s="52">
        <f t="shared" si="18"/>
        <v>134083</v>
      </c>
      <c r="CC37" s="52">
        <f t="shared" si="18"/>
        <v>838.8</v>
      </c>
      <c r="CD37" s="52">
        <f t="shared" si="18"/>
        <v>677749</v>
      </c>
      <c r="CE37" s="52">
        <f t="shared" si="18"/>
        <v>69194</v>
      </c>
      <c r="CF37" s="52">
        <f t="shared" si="18"/>
        <v>130373</v>
      </c>
      <c r="CG37" s="52">
        <f t="shared" si="18"/>
        <v>83506</v>
      </c>
      <c r="CH37" s="52">
        <f t="shared" si="18"/>
        <v>52059</v>
      </c>
      <c r="CI37" s="52">
        <f t="shared" si="18"/>
        <v>89296</v>
      </c>
      <c r="CJ37" s="52">
        <f t="shared" si="18"/>
        <v>122005</v>
      </c>
      <c r="CK37" s="52">
        <f t="shared" si="18"/>
        <v>44981</v>
      </c>
      <c r="CL37" s="52">
        <f t="shared" si="18"/>
        <v>35408</v>
      </c>
      <c r="CM37" s="52">
        <f t="shared" si="18"/>
        <v>0</v>
      </c>
      <c r="CN37" s="52">
        <f t="shared" si="18"/>
        <v>32829</v>
      </c>
      <c r="CO37" s="52">
        <f t="shared" si="18"/>
        <v>900</v>
      </c>
      <c r="CP37" s="52">
        <f t="shared" si="18"/>
        <v>0</v>
      </c>
      <c r="CR37" s="49">
        <f>SUM(C37:CP37)</f>
        <v>74281231.93532525</v>
      </c>
    </row>
    <row r="38" spans="2:96" ht="12.75" customHeight="1">
      <c r="B38" s="299" t="s">
        <v>525</v>
      </c>
      <c r="C38" s="52">
        <v>57018773.469000004</v>
      </c>
      <c r="D38" s="52">
        <v>29530003.524</v>
      </c>
      <c r="E38" s="52">
        <v>1264659.2440000002</v>
      </c>
      <c r="F38" s="52">
        <v>215060.868</v>
      </c>
      <c r="G38" s="52">
        <v>0</v>
      </c>
      <c r="H38" s="52">
        <v>80729430</v>
      </c>
      <c r="I38" s="52">
        <v>1918252</v>
      </c>
      <c r="J38" s="52">
        <v>60245195.377</v>
      </c>
      <c r="K38" s="52">
        <v>191835</v>
      </c>
      <c r="L38" s="52">
        <v>191361.566</v>
      </c>
      <c r="M38" s="52">
        <v>0</v>
      </c>
      <c r="N38" s="52">
        <v>26182511</v>
      </c>
      <c r="O38" s="52">
        <v>2256338</v>
      </c>
      <c r="P38" s="52">
        <v>65335</v>
      </c>
      <c r="Q38" s="52">
        <v>0</v>
      </c>
      <c r="R38" s="52">
        <v>28962</v>
      </c>
      <c r="S38" s="52">
        <v>31976</v>
      </c>
      <c r="T38" s="52">
        <v>12166</v>
      </c>
      <c r="U38" s="52">
        <v>8454</v>
      </c>
      <c r="V38" s="52">
        <v>0</v>
      </c>
      <c r="W38" s="52">
        <v>1872239</v>
      </c>
      <c r="X38" s="52">
        <v>319829</v>
      </c>
      <c r="Y38" s="52">
        <v>0</v>
      </c>
      <c r="Z38" s="52">
        <v>6263062</v>
      </c>
      <c r="AA38" s="52">
        <v>15237746</v>
      </c>
      <c r="AB38" s="52">
        <v>1874637</v>
      </c>
      <c r="AC38" s="52">
        <v>0</v>
      </c>
      <c r="AD38" s="52">
        <v>13759689</v>
      </c>
      <c r="AE38" s="52">
        <v>0</v>
      </c>
      <c r="AF38" s="52">
        <v>0</v>
      </c>
      <c r="AG38" s="52">
        <v>4216</v>
      </c>
      <c r="AH38" s="52">
        <v>2799</v>
      </c>
      <c r="AI38" s="52">
        <v>401249</v>
      </c>
      <c r="AJ38" s="52">
        <v>4015476</v>
      </c>
      <c r="AK38" s="52">
        <v>15341129</v>
      </c>
      <c r="AL38" s="52">
        <v>388538</v>
      </c>
      <c r="AM38" s="52">
        <v>0</v>
      </c>
      <c r="AN38" s="52">
        <v>19144777</v>
      </c>
      <c r="AO38" s="52">
        <v>66100</v>
      </c>
      <c r="AP38" s="52">
        <v>523528</v>
      </c>
      <c r="AQ38" s="52">
        <v>12989429</v>
      </c>
      <c r="AR38" s="52">
        <v>86417</v>
      </c>
      <c r="AS38" s="52">
        <v>14700147.382000001</v>
      </c>
      <c r="AT38" s="52">
        <v>26985.67758</v>
      </c>
      <c r="AU38" s="52">
        <v>3583974.5430155583</v>
      </c>
      <c r="AV38" s="52">
        <v>2098974.2472860813</v>
      </c>
      <c r="AW38" s="52">
        <v>8299863</v>
      </c>
      <c r="AX38" s="52">
        <v>31673</v>
      </c>
      <c r="AY38" s="52">
        <v>7747015.009480299</v>
      </c>
      <c r="AZ38" s="52">
        <v>0</v>
      </c>
      <c r="BA38" s="52">
        <v>0</v>
      </c>
      <c r="BB38" s="52">
        <v>7299821</v>
      </c>
      <c r="BC38" s="52">
        <v>22875</v>
      </c>
      <c r="BD38" s="52">
        <v>4794031</v>
      </c>
      <c r="BE38" s="52">
        <v>429931</v>
      </c>
      <c r="BF38" s="52">
        <v>206429</v>
      </c>
      <c r="BG38" s="52">
        <v>12102</v>
      </c>
      <c r="BH38" s="52">
        <v>49321</v>
      </c>
      <c r="BI38" s="52">
        <v>500460</v>
      </c>
      <c r="BJ38" s="52">
        <v>2465769</v>
      </c>
      <c r="BK38" s="52">
        <v>1194457</v>
      </c>
      <c r="BL38" s="52">
        <v>483782</v>
      </c>
      <c r="BM38" s="52">
        <v>0</v>
      </c>
      <c r="BN38" s="52">
        <v>7552434.16</v>
      </c>
      <c r="BO38" s="52">
        <v>7289066.238000001</v>
      </c>
      <c r="BP38" s="52">
        <v>10073.359</v>
      </c>
      <c r="BQ38" s="52">
        <v>50894.387</v>
      </c>
      <c r="BR38" s="52">
        <v>5016981</v>
      </c>
      <c r="BS38" s="52">
        <v>4221376</v>
      </c>
      <c r="BT38" s="52">
        <v>472014</v>
      </c>
      <c r="BU38" s="52">
        <v>439828</v>
      </c>
      <c r="BV38" s="52">
        <v>189319</v>
      </c>
      <c r="BW38" s="52">
        <v>679061</v>
      </c>
      <c r="BX38" s="52">
        <v>307526</v>
      </c>
      <c r="BY38" s="52">
        <v>0</v>
      </c>
      <c r="BZ38" s="52">
        <v>268441</v>
      </c>
      <c r="CA38" s="52">
        <v>31020</v>
      </c>
      <c r="CB38" s="52">
        <v>561773</v>
      </c>
      <c r="CC38" s="52">
        <v>620045.3</v>
      </c>
      <c r="CD38" s="52">
        <v>422702</v>
      </c>
      <c r="CE38" s="52">
        <v>496654</v>
      </c>
      <c r="CF38" s="52">
        <v>152664</v>
      </c>
      <c r="CG38" s="52">
        <v>136920</v>
      </c>
      <c r="CH38" s="52">
        <v>209953</v>
      </c>
      <c r="CI38" s="52">
        <v>69361</v>
      </c>
      <c r="CJ38" s="52">
        <v>7072</v>
      </c>
      <c r="CK38" s="52">
        <v>52397</v>
      </c>
      <c r="CL38" s="52">
        <v>25609</v>
      </c>
      <c r="CM38" s="52">
        <v>8471</v>
      </c>
      <c r="CN38" s="52">
        <v>0</v>
      </c>
      <c r="CO38" s="52">
        <v>0</v>
      </c>
      <c r="CP38" s="52">
        <v>0</v>
      </c>
      <c r="CR38" s="49">
        <f>SUM(C38:CP38)</f>
        <v>435420439.35136205</v>
      </c>
    </row>
  </sheetData>
  <sheetProtection formatCells="0" formatColumns="0" formatRows="0" insertColumns="0" insertRows="0" insertHyperlinks="0" deleteColumns="0" deleteRows="0" sort="0" autoFilter="0" pivotTables="0"/>
  <mergeCells count="60">
    <mergeCell ref="AS4:AT4"/>
    <mergeCell ref="AJ4:AM4"/>
    <mergeCell ref="H4:I4"/>
    <mergeCell ref="BB4:BC4"/>
    <mergeCell ref="BO4:BQ4"/>
    <mergeCell ref="AN4:AP4"/>
    <mergeCell ref="N4:V4"/>
    <mergeCell ref="AD4:AI4"/>
    <mergeCell ref="AQ4:AR4"/>
    <mergeCell ref="AY4:BA4"/>
    <mergeCell ref="AU1:AV1"/>
    <mergeCell ref="BX1:BY1"/>
    <mergeCell ref="C4:G4"/>
    <mergeCell ref="BD4:BH4"/>
    <mergeCell ref="CA4:CB4"/>
    <mergeCell ref="J4:M4"/>
    <mergeCell ref="BI4:BM4"/>
    <mergeCell ref="AW4:AX4"/>
    <mergeCell ref="AU4:AV4"/>
    <mergeCell ref="W4:AC4"/>
    <mergeCell ref="BN1:BN3"/>
    <mergeCell ref="CA1:CB1"/>
    <mergeCell ref="BX4:BY4"/>
    <mergeCell ref="W1:AC1"/>
    <mergeCell ref="BS1:BS3"/>
    <mergeCell ref="CH1:CH3"/>
    <mergeCell ref="CE1:CE3"/>
    <mergeCell ref="AJ1:AM1"/>
    <mergeCell ref="AN1:AP1"/>
    <mergeCell ref="BV1:BV3"/>
    <mergeCell ref="CM1:CM3"/>
    <mergeCell ref="CC1:CC3"/>
    <mergeCell ref="CG1:CG3"/>
    <mergeCell ref="CI1:CI3"/>
    <mergeCell ref="CJ1:CJ3"/>
    <mergeCell ref="CP1:CP3"/>
    <mergeCell ref="CF1:CF3"/>
    <mergeCell ref="CN1:CN3"/>
    <mergeCell ref="CO1:CO3"/>
    <mergeCell ref="CK1:CK3"/>
    <mergeCell ref="C1:G1"/>
    <mergeCell ref="BT1:BT3"/>
    <mergeCell ref="BD1:BH1"/>
    <mergeCell ref="J1:M1"/>
    <mergeCell ref="BI1:BM1"/>
    <mergeCell ref="AW1:AX1"/>
    <mergeCell ref="BR1:BR3"/>
    <mergeCell ref="AS1:AT1"/>
    <mergeCell ref="AY1:BA1"/>
    <mergeCell ref="H1:I1"/>
    <mergeCell ref="BB1:BC1"/>
    <mergeCell ref="AQ1:AR1"/>
    <mergeCell ref="BO1:BQ1"/>
    <mergeCell ref="CL1:CL3"/>
    <mergeCell ref="N1:V1"/>
    <mergeCell ref="AD1:AI1"/>
    <mergeCell ref="BW1:BW3"/>
    <mergeCell ref="CD1:CD3"/>
    <mergeCell ref="BU1:BU3"/>
    <mergeCell ref="BZ1:BZ3"/>
  </mergeCells>
  <printOptions/>
  <pageMargins left="0.3937007874015748" right="0.3937007874015748" top="0.984251968503937" bottom="0.5905511811023623" header="0.5118110236220472" footer="0.5118110236220472"/>
  <pageSetup firstPageNumber="60" useFirstPageNumber="1" horizontalDpi="300" verticalDpi="300" orientation="landscape" paperSize="9" r:id="rId1"/>
  <headerFooter alignWithMargins="0">
    <oddHeader>&amp;C&amp;"Times New Roman,Bold"&amp;12 6.1 SUNDURLIÐUN Á FJÁRFESTINGUM 31.12.2006 Í SAMRÆMI VIÐ ÁKVÆÐI LAGA NR. 129/1997</oddHeader>
    <oddFooter>&amp;R&amp;"Times New Roman,Regular"&amp;P</oddFooter>
  </headerFooter>
  <colBreaks count="3" manualBreakCount="3">
    <brk id="13" max="38" man="1"/>
    <brk id="22" max="38" man="1"/>
    <brk id="46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2.75" customHeight="1"/>
  <cols>
    <col min="1" max="1" width="35.28125" style="217" customWidth="1"/>
    <col min="2" max="2" width="13.421875" style="217" bestFit="1" customWidth="1"/>
    <col min="3" max="3" width="11.57421875" style="217" customWidth="1"/>
    <col min="4" max="4" width="12.00390625" style="217" customWidth="1"/>
    <col min="5" max="5" width="11.140625" style="217" customWidth="1"/>
    <col min="6" max="6" width="10.8515625" style="217" bestFit="1" customWidth="1"/>
    <col min="7" max="7" width="10.8515625" style="217" customWidth="1"/>
    <col min="8" max="8" width="9.140625" style="217" customWidth="1"/>
    <col min="9" max="9" width="10.28125" style="217" customWidth="1"/>
    <col min="10" max="10" width="13.7109375" style="217" customWidth="1"/>
    <col min="11" max="16384" width="9.140625" style="217" customWidth="1"/>
  </cols>
  <sheetData>
    <row r="1" spans="1:7" ht="12.75" customHeight="1">
      <c r="A1" s="301"/>
      <c r="B1" s="380" t="s">
        <v>526</v>
      </c>
      <c r="C1" s="380"/>
      <c r="D1" s="381" t="s">
        <v>42</v>
      </c>
      <c r="E1" s="381"/>
      <c r="F1" s="381" t="s">
        <v>48</v>
      </c>
      <c r="G1" s="381"/>
    </row>
    <row r="2" spans="1:7" ht="12.75" customHeight="1">
      <c r="A2" s="185" t="s">
        <v>8</v>
      </c>
      <c r="B2" s="302">
        <v>39081</v>
      </c>
      <c r="C2" s="302">
        <v>38717</v>
      </c>
      <c r="D2" s="303">
        <v>2006</v>
      </c>
      <c r="E2" s="303">
        <v>2005</v>
      </c>
      <c r="F2" s="303">
        <v>2006</v>
      </c>
      <c r="G2" s="303">
        <v>2005</v>
      </c>
    </row>
    <row r="3" spans="1:7" ht="12.75" customHeight="1">
      <c r="A3" s="301"/>
      <c r="C3" s="302"/>
      <c r="E3" s="303"/>
      <c r="G3" s="303"/>
    </row>
    <row r="4" spans="1:7" ht="24" customHeight="1">
      <c r="A4" s="304" t="s">
        <v>541</v>
      </c>
      <c r="B4" s="305">
        <v>117411504.532</v>
      </c>
      <c r="C4" s="305">
        <v>86736281</v>
      </c>
      <c r="D4" s="306">
        <f>+D19</f>
        <v>12003023.303000001</v>
      </c>
      <c r="E4" s="306">
        <v>8861087.272</v>
      </c>
      <c r="F4" s="306">
        <f>+F19</f>
        <v>1470603.0110000002</v>
      </c>
      <c r="G4" s="306">
        <v>564516.7760000001</v>
      </c>
    </row>
    <row r="5" spans="1:7" ht="12.75" customHeight="1">
      <c r="A5" s="301" t="s">
        <v>527</v>
      </c>
      <c r="B5" s="306">
        <f>+'2.3 Kerfi'!J46-B4</f>
        <v>24484929.467999995</v>
      </c>
      <c r="C5" s="306">
        <v>18662211</v>
      </c>
      <c r="D5" s="306">
        <v>2902124</v>
      </c>
      <c r="E5" s="306">
        <v>4026188</v>
      </c>
      <c r="F5" s="306">
        <v>155299</v>
      </c>
      <c r="G5" s="306">
        <v>231373</v>
      </c>
    </row>
    <row r="6" spans="1:7" ht="12.75" customHeight="1">
      <c r="A6" s="301" t="s">
        <v>542</v>
      </c>
      <c r="B6" s="306">
        <v>55699603.024</v>
      </c>
      <c r="C6" s="307">
        <v>40839075</v>
      </c>
      <c r="D6" s="306">
        <v>10799437.727</v>
      </c>
      <c r="E6" s="306">
        <v>9080526</v>
      </c>
      <c r="F6" s="306">
        <v>1365470.687</v>
      </c>
      <c r="G6" s="306">
        <v>450480</v>
      </c>
    </row>
    <row r="7" spans="1:9" ht="12.75" customHeight="1">
      <c r="A7" s="308" t="s">
        <v>474</v>
      </c>
      <c r="B7" s="309">
        <f aca="true" t="shared" si="0" ref="B7:G7">SUM(B4:B6)</f>
        <v>197596037.024</v>
      </c>
      <c r="C7" s="309">
        <f t="shared" si="0"/>
        <v>146237567</v>
      </c>
      <c r="D7" s="309">
        <f t="shared" si="0"/>
        <v>25704585.03</v>
      </c>
      <c r="E7" s="309">
        <f t="shared" si="0"/>
        <v>21967801.272</v>
      </c>
      <c r="F7" s="309">
        <f t="shared" si="0"/>
        <v>2991372.698</v>
      </c>
      <c r="G7" s="309">
        <f t="shared" si="0"/>
        <v>1246369.776</v>
      </c>
      <c r="H7" s="32"/>
      <c r="I7" s="305"/>
    </row>
    <row r="8" spans="1:10" ht="12.75" customHeight="1">
      <c r="A8" s="308"/>
      <c r="B8" s="310"/>
      <c r="C8" s="311"/>
      <c r="D8" s="311"/>
      <c r="G8" s="311"/>
      <c r="J8" s="330"/>
    </row>
    <row r="9" spans="1:10" ht="12.75" customHeight="1">
      <c r="A9" s="300"/>
      <c r="B9" s="307"/>
      <c r="C9" s="312"/>
      <c r="D9" s="311"/>
      <c r="E9" s="311"/>
      <c r="F9" s="311"/>
      <c r="G9" s="311"/>
      <c r="J9" s="330"/>
    </row>
    <row r="10" spans="1:10" ht="12.75" customHeight="1">
      <c r="A10" s="300"/>
      <c r="B10" s="307"/>
      <c r="C10" s="312"/>
      <c r="D10" s="311"/>
      <c r="E10" s="311"/>
      <c r="F10" s="311"/>
      <c r="G10" s="311"/>
      <c r="J10" s="330"/>
    </row>
    <row r="11" spans="1:10" ht="12.75" customHeight="1">
      <c r="A11" s="300"/>
      <c r="B11" s="307"/>
      <c r="C11" s="312"/>
      <c r="D11" s="311"/>
      <c r="E11" s="311"/>
      <c r="F11" s="311"/>
      <c r="G11" s="311"/>
      <c r="J11" s="330"/>
    </row>
    <row r="12" spans="1:10" ht="12.75" customHeight="1">
      <c r="A12" s="300"/>
      <c r="B12" s="307"/>
      <c r="C12" s="312"/>
      <c r="D12" s="311"/>
      <c r="E12" s="311"/>
      <c r="F12" s="311"/>
      <c r="G12" s="311"/>
      <c r="J12" s="330"/>
    </row>
    <row r="13" spans="1:10" ht="12.75" customHeight="1">
      <c r="A13" s="300"/>
      <c r="B13" s="307"/>
      <c r="C13" s="312"/>
      <c r="D13" s="311"/>
      <c r="E13" s="311"/>
      <c r="F13" s="311"/>
      <c r="G13" s="311"/>
      <c r="J13" s="330"/>
    </row>
    <row r="14" spans="1:10" ht="12.75" customHeight="1">
      <c r="A14" s="300"/>
      <c r="B14" s="307"/>
      <c r="C14" s="312"/>
      <c r="D14" s="311"/>
      <c r="E14" s="311"/>
      <c r="F14" s="311"/>
      <c r="G14" s="311"/>
      <c r="J14" s="330"/>
    </row>
    <row r="15" spans="1:10" ht="12.75" customHeight="1">
      <c r="A15" s="300"/>
      <c r="B15" s="307"/>
      <c r="C15" s="312"/>
      <c r="D15" s="311"/>
      <c r="E15" s="311"/>
      <c r="F15" s="311"/>
      <c r="G15" s="311"/>
      <c r="J15" s="330"/>
    </row>
    <row r="16" spans="1:10" ht="12.75" customHeight="1">
      <c r="A16" s="351" t="s">
        <v>544</v>
      </c>
      <c r="B16" s="301"/>
      <c r="C16" s="313"/>
      <c r="E16" s="314"/>
      <c r="F16" s="314"/>
      <c r="G16" s="314"/>
      <c r="J16" s="330"/>
    </row>
    <row r="17" spans="1:10" ht="12.75" customHeight="1">
      <c r="A17" s="301" t="s">
        <v>612</v>
      </c>
      <c r="B17" s="306">
        <v>15542312.399</v>
      </c>
      <c r="C17" s="306">
        <v>11817323</v>
      </c>
      <c r="D17" s="306">
        <v>1627158.228</v>
      </c>
      <c r="E17" s="306">
        <v>1599835</v>
      </c>
      <c r="F17" s="306">
        <v>30247.607</v>
      </c>
      <c r="G17" s="306">
        <v>18016</v>
      </c>
      <c r="J17" s="330"/>
    </row>
    <row r="18" spans="1:10" ht="12.75" customHeight="1">
      <c r="A18" s="301" t="s">
        <v>528</v>
      </c>
      <c r="B18" s="306">
        <v>101869192.133</v>
      </c>
      <c r="C18" s="306">
        <v>74918958</v>
      </c>
      <c r="D18" s="306">
        <v>10375865.075000001</v>
      </c>
      <c r="E18" s="306">
        <v>7261253</v>
      </c>
      <c r="F18" s="306">
        <v>1440355.404</v>
      </c>
      <c r="G18" s="306">
        <v>848061</v>
      </c>
      <c r="J18" s="330"/>
    </row>
    <row r="19" spans="1:10" ht="12.75" customHeight="1">
      <c r="A19" s="315" t="s">
        <v>474</v>
      </c>
      <c r="B19" s="309">
        <f aca="true" t="shared" si="1" ref="B19:G19">SUM(B17:B18)</f>
        <v>117411504.532</v>
      </c>
      <c r="C19" s="309">
        <f t="shared" si="1"/>
        <v>86736281</v>
      </c>
      <c r="D19" s="309">
        <f>SUM(D17:D18)</f>
        <v>12003023.303000001</v>
      </c>
      <c r="E19" s="309">
        <f t="shared" si="1"/>
        <v>8861088</v>
      </c>
      <c r="F19" s="309">
        <f t="shared" si="1"/>
        <v>1470603.0110000002</v>
      </c>
      <c r="G19" s="309">
        <f t="shared" si="1"/>
        <v>866077</v>
      </c>
      <c r="J19" s="330"/>
    </row>
    <row r="20" spans="1:7" ht="12.75" customHeight="1">
      <c r="A20" s="314" t="s">
        <v>614</v>
      </c>
      <c r="B20" s="306">
        <v>12923307.196</v>
      </c>
      <c r="C20" s="306">
        <v>9524162</v>
      </c>
      <c r="D20" s="306">
        <v>1095579.671</v>
      </c>
      <c r="E20" s="306">
        <v>623131</v>
      </c>
      <c r="F20" s="316"/>
      <c r="G20" s="316"/>
    </row>
    <row r="21" spans="1:7" ht="12.75" customHeight="1">
      <c r="A21" s="301"/>
      <c r="B21" s="301"/>
      <c r="C21" s="314"/>
      <c r="D21" s="314"/>
      <c r="E21" s="314"/>
      <c r="F21" s="314"/>
      <c r="G21" s="314"/>
    </row>
    <row r="22" spans="1:7" ht="12.75" customHeight="1">
      <c r="A22" s="301"/>
      <c r="B22" s="301"/>
      <c r="C22" s="314"/>
      <c r="D22" s="314"/>
      <c r="E22" s="314"/>
      <c r="F22" s="314"/>
      <c r="G22" s="314"/>
    </row>
    <row r="23" spans="1:7" ht="12.75" customHeight="1">
      <c r="A23" s="301"/>
      <c r="B23" s="301"/>
      <c r="C23" s="314"/>
      <c r="D23" s="314"/>
      <c r="E23" s="314"/>
      <c r="F23" s="314"/>
      <c r="G23" s="314"/>
    </row>
    <row r="24" spans="1:7" ht="12.75" customHeight="1">
      <c r="A24" s="301"/>
      <c r="B24" s="378" t="s">
        <v>526</v>
      </c>
      <c r="C24" s="379"/>
      <c r="D24" s="379"/>
      <c r="E24" s="379"/>
      <c r="F24" s="379"/>
      <c r="G24" s="317"/>
    </row>
    <row r="25" spans="1:7" ht="12.75" customHeight="1">
      <c r="A25" s="318"/>
      <c r="B25" s="319" t="s">
        <v>540</v>
      </c>
      <c r="C25" s="319" t="s">
        <v>529</v>
      </c>
      <c r="D25" s="319" t="s">
        <v>530</v>
      </c>
      <c r="E25" s="319" t="s">
        <v>531</v>
      </c>
      <c r="F25" s="319" t="s">
        <v>532</v>
      </c>
      <c r="G25" s="319" t="s">
        <v>533</v>
      </c>
    </row>
    <row r="26" spans="1:7" ht="12.75" customHeight="1">
      <c r="A26" s="320" t="s">
        <v>543</v>
      </c>
      <c r="B26" s="301"/>
      <c r="C26" s="301"/>
      <c r="E26" s="301"/>
      <c r="F26" s="321"/>
      <c r="G26" s="321"/>
    </row>
    <row r="27" spans="1:7" ht="12.75" customHeight="1">
      <c r="A27" s="322" t="s">
        <v>534</v>
      </c>
      <c r="B27" s="306">
        <v>42733309.331999995</v>
      </c>
      <c r="C27" s="306">
        <v>30725574.684</v>
      </c>
      <c r="D27" s="306">
        <v>21472925</v>
      </c>
      <c r="E27" s="306">
        <v>12404684</v>
      </c>
      <c r="F27" s="306">
        <v>7013146.091</v>
      </c>
      <c r="G27" s="306">
        <v>4606376.471</v>
      </c>
    </row>
    <row r="28" spans="1:7" ht="12.75" customHeight="1">
      <c r="A28" s="322" t="s">
        <v>535</v>
      </c>
      <c r="B28" s="306">
        <v>9323803</v>
      </c>
      <c r="C28" s="306">
        <v>7083185</v>
      </c>
      <c r="D28" s="306">
        <v>5095430</v>
      </c>
      <c r="E28" s="306">
        <v>3359891</v>
      </c>
      <c r="F28" s="306">
        <v>1794357.803</v>
      </c>
      <c r="G28" s="306">
        <v>746247.476</v>
      </c>
    </row>
    <row r="29" spans="1:7" ht="12.75" customHeight="1">
      <c r="A29" s="322" t="s">
        <v>536</v>
      </c>
      <c r="B29" s="306">
        <v>3642490.692</v>
      </c>
      <c r="C29" s="306">
        <v>3030315</v>
      </c>
      <c r="D29" s="306">
        <v>2001150</v>
      </c>
      <c r="E29" s="306">
        <v>446931</v>
      </c>
      <c r="F29" s="306">
        <v>254123.053</v>
      </c>
      <c r="G29" s="306">
        <v>173376.535</v>
      </c>
    </row>
    <row r="30" spans="1:7" ht="12.75" customHeight="1">
      <c r="A30" s="323" t="s">
        <v>474</v>
      </c>
      <c r="B30" s="324">
        <f aca="true" t="shared" si="2" ref="B30:G30">SUM(B27:B29)</f>
        <v>55699603.024</v>
      </c>
      <c r="C30" s="309">
        <f t="shared" si="2"/>
        <v>40839074.684</v>
      </c>
      <c r="D30" s="309">
        <f t="shared" si="2"/>
        <v>28569505</v>
      </c>
      <c r="E30" s="309">
        <f t="shared" si="2"/>
        <v>16211506</v>
      </c>
      <c r="F30" s="309">
        <f t="shared" si="2"/>
        <v>9061626.946999999</v>
      </c>
      <c r="G30" s="309">
        <f t="shared" si="2"/>
        <v>5526000.482</v>
      </c>
    </row>
    <row r="31" spans="1:7" ht="12.75" customHeight="1">
      <c r="A31" s="301"/>
      <c r="B31" s="314"/>
      <c r="C31" s="314"/>
      <c r="D31" s="301"/>
      <c r="E31" s="301"/>
      <c r="F31" s="301"/>
      <c r="G31" s="314"/>
    </row>
    <row r="32" spans="1:7" ht="12.75" customHeight="1">
      <c r="A32" s="301" t="s">
        <v>537</v>
      </c>
      <c r="B32" s="314">
        <v>104914</v>
      </c>
      <c r="C32" s="314">
        <v>92717</v>
      </c>
      <c r="D32" s="314">
        <v>91297</v>
      </c>
      <c r="E32" s="306">
        <v>72882</v>
      </c>
      <c r="F32" s="306">
        <v>52268</v>
      </c>
      <c r="G32" s="306">
        <v>36006</v>
      </c>
    </row>
    <row r="33" spans="1:7" ht="12.75" customHeight="1">
      <c r="A33" s="301" t="s">
        <v>538</v>
      </c>
      <c r="B33" s="314">
        <v>55080</v>
      </c>
      <c r="C33" s="314">
        <v>42313</v>
      </c>
      <c r="D33" s="314">
        <v>55044</v>
      </c>
      <c r="E33" s="306">
        <v>61590</v>
      </c>
      <c r="F33" s="306">
        <v>35340</v>
      </c>
      <c r="G33" s="306">
        <v>26287</v>
      </c>
    </row>
    <row r="34" spans="1:7" ht="12.75" customHeight="1">
      <c r="A34" s="301" t="s">
        <v>539</v>
      </c>
      <c r="B34" s="314">
        <v>1180</v>
      </c>
      <c r="C34" s="314">
        <v>442</v>
      </c>
      <c r="D34" s="314">
        <v>643</v>
      </c>
      <c r="E34" s="306">
        <v>201</v>
      </c>
      <c r="F34" s="306">
        <v>207</v>
      </c>
      <c r="G34" s="306">
        <v>65</v>
      </c>
    </row>
    <row r="35" ht="12.75" customHeight="1">
      <c r="B35" s="316"/>
    </row>
    <row r="37" spans="4:5" ht="12.75" customHeight="1">
      <c r="D37" s="26"/>
      <c r="E37" s="32"/>
    </row>
    <row r="38" spans="4:5" ht="12.75" customHeight="1">
      <c r="D38" s="325"/>
      <c r="E38" s="32"/>
    </row>
    <row r="39" spans="4:5" ht="12.75" customHeight="1">
      <c r="D39" s="32"/>
      <c r="E39" s="32"/>
    </row>
  </sheetData>
  <sheetProtection/>
  <mergeCells count="4">
    <mergeCell ref="B24:F24"/>
    <mergeCell ref="B1:C1"/>
    <mergeCell ref="D1:E1"/>
    <mergeCell ref="F1:G1"/>
  </mergeCells>
  <printOptions/>
  <pageMargins left="0.75" right="0.75" top="1" bottom="1" header="0.5" footer="0.5"/>
  <pageSetup firstPageNumber="69" useFirstPageNumber="1" horizontalDpi="600" verticalDpi="600" orientation="landscape" paperSize="9" r:id="rId1"/>
  <headerFooter alignWithMargins="0">
    <oddHeader>&amp;C&amp;"Times New Roman,Bold"&amp;12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E46" sqref="E46"/>
    </sheetView>
  </sheetViews>
  <sheetFormatPr defaultColWidth="9.140625" defaultRowHeight="12.75"/>
  <cols>
    <col min="1" max="1" width="3.28125" style="251" customWidth="1"/>
    <col min="2" max="2" width="3.00390625" style="251" customWidth="1"/>
    <col min="3" max="3" width="36.7109375" style="249" customWidth="1"/>
    <col min="4" max="4" width="4.8515625" style="268" customWidth="1"/>
    <col min="5" max="5" width="12.57421875" style="248" customWidth="1"/>
    <col min="6" max="6" width="3.28125" style="249" customWidth="1"/>
    <col min="7" max="7" width="12.28125" style="248" customWidth="1"/>
    <col min="8" max="8" width="3.57421875" style="249" customWidth="1"/>
    <col min="9" max="9" width="8.421875" style="249" customWidth="1"/>
    <col min="10" max="11" width="0" style="249" hidden="1" customWidth="1"/>
    <col min="12" max="16384" width="9.140625" style="249" customWidth="1"/>
  </cols>
  <sheetData>
    <row r="1" spans="1:9" ht="21" customHeight="1">
      <c r="A1" s="246"/>
      <c r="B1" s="246"/>
      <c r="C1" s="247"/>
      <c r="D1" s="279"/>
      <c r="E1" s="260" t="s">
        <v>430</v>
      </c>
      <c r="F1" s="261"/>
      <c r="G1" s="260" t="s">
        <v>430</v>
      </c>
      <c r="H1" s="261"/>
      <c r="I1" s="262" t="s">
        <v>461</v>
      </c>
    </row>
    <row r="2" spans="1:9" ht="13.5" customHeight="1">
      <c r="A2" s="246"/>
      <c r="B2" s="246"/>
      <c r="C2" s="247"/>
      <c r="D2" s="246"/>
      <c r="E2" s="263" t="s">
        <v>435</v>
      </c>
      <c r="F2" s="261"/>
      <c r="G2" s="263" t="s">
        <v>462</v>
      </c>
      <c r="H2" s="261"/>
      <c r="I2" s="264" t="s">
        <v>463</v>
      </c>
    </row>
    <row r="3" spans="1:9" ht="13.5" customHeight="1">
      <c r="A3" s="246"/>
      <c r="B3" s="246"/>
      <c r="C3" s="247"/>
      <c r="D3" s="246"/>
      <c r="E3" s="265" t="s">
        <v>464</v>
      </c>
      <c r="F3" s="266"/>
      <c r="G3" s="265" t="s">
        <v>464</v>
      </c>
      <c r="H3" s="266"/>
      <c r="I3" s="266" t="s">
        <v>465</v>
      </c>
    </row>
    <row r="4" spans="1:9" ht="6" customHeight="1">
      <c r="A4" s="246"/>
      <c r="B4" s="246"/>
      <c r="C4" s="247"/>
      <c r="D4" s="246"/>
      <c r="H4" s="247"/>
      <c r="I4" s="247"/>
    </row>
    <row r="5" spans="1:12" ht="13.5" customHeight="1">
      <c r="A5" s="246">
        <v>1</v>
      </c>
      <c r="B5" s="246"/>
      <c r="C5" s="280" t="s">
        <v>453</v>
      </c>
      <c r="D5" s="246" t="s">
        <v>466</v>
      </c>
      <c r="E5" s="281">
        <v>282259925</v>
      </c>
      <c r="F5" s="281"/>
      <c r="G5" s="281">
        <v>227495437</v>
      </c>
      <c r="H5" s="231"/>
      <c r="I5" s="282">
        <f>(E5/G5)-1</f>
        <v>0.24072785248875128</v>
      </c>
      <c r="L5" s="281"/>
    </row>
    <row r="6" spans="1:12" ht="13.5" customHeight="1">
      <c r="A6" s="246">
        <v>2</v>
      </c>
      <c r="B6" s="246"/>
      <c r="C6" s="280" t="s">
        <v>439</v>
      </c>
      <c r="D6" s="283" t="s">
        <v>467</v>
      </c>
      <c r="E6" s="281">
        <v>240348888</v>
      </c>
      <c r="F6" s="281"/>
      <c r="G6" s="281">
        <v>190972438</v>
      </c>
      <c r="H6" s="231"/>
      <c r="I6" s="282">
        <f aca="true" t="shared" si="0" ref="I6:I45">(E6/G6)-1</f>
        <v>0.2585527551363198</v>
      </c>
      <c r="L6" s="281"/>
    </row>
    <row r="7" spans="1:12" ht="13.5" customHeight="1">
      <c r="A7" s="246">
        <v>3</v>
      </c>
      <c r="B7" s="246"/>
      <c r="C7" s="280" t="s">
        <v>25</v>
      </c>
      <c r="D7" s="251"/>
      <c r="E7" s="281">
        <v>215411276</v>
      </c>
      <c r="F7" s="281"/>
      <c r="G7" s="281">
        <v>181296357</v>
      </c>
      <c r="H7" s="231"/>
      <c r="I7" s="282">
        <f t="shared" si="0"/>
        <v>0.1881721153393061</v>
      </c>
      <c r="L7" s="281"/>
    </row>
    <row r="8" spans="1:12" ht="13.5" customHeight="1">
      <c r="A8" s="246">
        <v>4</v>
      </c>
      <c r="B8" s="246"/>
      <c r="C8" s="280" t="s">
        <v>0</v>
      </c>
      <c r="D8" s="251"/>
      <c r="E8" s="281">
        <v>88373001</v>
      </c>
      <c r="F8" s="281"/>
      <c r="G8" s="281">
        <v>71921992</v>
      </c>
      <c r="H8" s="231"/>
      <c r="I8" s="282">
        <f t="shared" si="0"/>
        <v>0.2287340567541567</v>
      </c>
      <c r="L8" s="281"/>
    </row>
    <row r="9" spans="1:12" ht="13.5" customHeight="1">
      <c r="A9" s="246">
        <v>5</v>
      </c>
      <c r="B9" s="246"/>
      <c r="C9" s="280" t="s">
        <v>23</v>
      </c>
      <c r="D9" s="251" t="s">
        <v>468</v>
      </c>
      <c r="E9" s="281">
        <v>83242551</v>
      </c>
      <c r="F9" s="281"/>
      <c r="G9" s="281">
        <v>64404243</v>
      </c>
      <c r="H9" s="28"/>
      <c r="I9" s="282">
        <f t="shared" si="0"/>
        <v>0.2925010391007934</v>
      </c>
      <c r="L9" s="281"/>
    </row>
    <row r="10" spans="1:12" ht="13.5" customHeight="1">
      <c r="A10" s="246">
        <v>6</v>
      </c>
      <c r="B10" s="246"/>
      <c r="C10" s="280" t="s">
        <v>33</v>
      </c>
      <c r="D10" s="251" t="s">
        <v>468</v>
      </c>
      <c r="E10" s="281">
        <v>74710215</v>
      </c>
      <c r="F10" s="281"/>
      <c r="G10" s="281">
        <v>62356312</v>
      </c>
      <c r="H10" s="231"/>
      <c r="I10" s="282">
        <f t="shared" si="0"/>
        <v>0.1981179226892058</v>
      </c>
      <c r="L10" s="281"/>
    </row>
    <row r="11" spans="1:12" ht="13.5" customHeight="1">
      <c r="A11" s="246">
        <v>7</v>
      </c>
      <c r="B11" s="246"/>
      <c r="C11" s="280" t="s">
        <v>262</v>
      </c>
      <c r="D11" s="251" t="s">
        <v>468</v>
      </c>
      <c r="E11" s="281">
        <v>59613928</v>
      </c>
      <c r="F11" s="281"/>
      <c r="G11" s="281">
        <v>47747037</v>
      </c>
      <c r="H11" s="231"/>
      <c r="I11" s="282">
        <f t="shared" si="0"/>
        <v>0.24853669977468962</v>
      </c>
      <c r="L11" s="281"/>
    </row>
    <row r="12" spans="1:12" ht="13.5" customHeight="1">
      <c r="A12" s="246">
        <v>8</v>
      </c>
      <c r="B12" s="246"/>
      <c r="C12" s="284" t="s">
        <v>29</v>
      </c>
      <c r="D12" s="251"/>
      <c r="E12" s="281">
        <v>56431731</v>
      </c>
      <c r="F12" s="281"/>
      <c r="G12" s="281">
        <v>47509108</v>
      </c>
      <c r="H12" s="231"/>
      <c r="I12" s="282">
        <f t="shared" si="0"/>
        <v>0.1878086829161263</v>
      </c>
      <c r="L12" s="281"/>
    </row>
    <row r="13" spans="1:12" ht="13.5" customHeight="1">
      <c r="A13" s="246">
        <v>9</v>
      </c>
      <c r="B13" s="246"/>
      <c r="C13" s="280" t="s">
        <v>452</v>
      </c>
      <c r="D13" s="251"/>
      <c r="E13" s="281">
        <v>50924638</v>
      </c>
      <c r="F13" s="281"/>
      <c r="G13" s="281">
        <v>41614573</v>
      </c>
      <c r="H13" s="231"/>
      <c r="I13" s="282">
        <f t="shared" si="0"/>
        <v>0.2237212670667077</v>
      </c>
      <c r="L13" s="281"/>
    </row>
    <row r="14" spans="1:12" ht="13.5" customHeight="1">
      <c r="A14" s="246">
        <v>10</v>
      </c>
      <c r="B14" s="246"/>
      <c r="C14" s="280" t="s">
        <v>24</v>
      </c>
      <c r="D14" s="251" t="s">
        <v>468</v>
      </c>
      <c r="E14" s="281">
        <v>48634303</v>
      </c>
      <c r="F14" s="281"/>
      <c r="G14" s="281">
        <v>39425796</v>
      </c>
      <c r="H14" s="231"/>
      <c r="I14" s="282">
        <f t="shared" si="0"/>
        <v>0.23356553156212745</v>
      </c>
      <c r="L14" s="281"/>
    </row>
    <row r="15" spans="1:12" ht="13.5" customHeight="1">
      <c r="A15" s="246">
        <v>11</v>
      </c>
      <c r="B15" s="246"/>
      <c r="C15" s="280" t="s">
        <v>3</v>
      </c>
      <c r="D15" s="246"/>
      <c r="E15" s="281">
        <v>34819789</v>
      </c>
      <c r="F15" s="281"/>
      <c r="G15" s="281">
        <v>28673192</v>
      </c>
      <c r="H15" s="231"/>
      <c r="I15" s="282">
        <f t="shared" si="0"/>
        <v>0.21436737842093057</v>
      </c>
      <c r="L15" s="281"/>
    </row>
    <row r="16" spans="1:12" ht="13.5" customHeight="1">
      <c r="A16" s="246">
        <v>12</v>
      </c>
      <c r="B16" s="246"/>
      <c r="C16" s="280" t="s">
        <v>27</v>
      </c>
      <c r="D16" s="251"/>
      <c r="E16" s="281">
        <v>27458144</v>
      </c>
      <c r="F16" s="281"/>
      <c r="G16" s="281">
        <v>21992914</v>
      </c>
      <c r="H16" s="231"/>
      <c r="I16" s="282">
        <f t="shared" si="0"/>
        <v>0.2484995849117584</v>
      </c>
      <c r="L16" s="281"/>
    </row>
    <row r="17" spans="1:12" ht="13.5" customHeight="1">
      <c r="A17" s="246">
        <v>13</v>
      </c>
      <c r="B17" s="246"/>
      <c r="C17" s="280" t="s">
        <v>31</v>
      </c>
      <c r="D17" s="246"/>
      <c r="E17" s="281">
        <v>27218311</v>
      </c>
      <c r="F17" s="281"/>
      <c r="G17" s="281">
        <v>21693310</v>
      </c>
      <c r="H17" s="231"/>
      <c r="I17" s="282">
        <f t="shared" si="0"/>
        <v>0.2546868596816254</v>
      </c>
      <c r="L17" s="281"/>
    </row>
    <row r="18" spans="1:12" ht="13.5" customHeight="1">
      <c r="A18" s="246">
        <v>14</v>
      </c>
      <c r="B18" s="246"/>
      <c r="C18" s="280" t="s">
        <v>32</v>
      </c>
      <c r="D18" s="251"/>
      <c r="E18" s="281">
        <v>25968359</v>
      </c>
      <c r="F18" s="281"/>
      <c r="G18" s="281">
        <v>22051329</v>
      </c>
      <c r="H18" s="231"/>
      <c r="I18" s="282">
        <f t="shared" si="0"/>
        <v>0.1776323776222286</v>
      </c>
      <c r="L18" s="281"/>
    </row>
    <row r="19" spans="1:12" ht="13.5" customHeight="1">
      <c r="A19" s="246">
        <v>15</v>
      </c>
      <c r="B19" s="246"/>
      <c r="C19" s="280" t="s">
        <v>486</v>
      </c>
      <c r="D19" s="251" t="s">
        <v>470</v>
      </c>
      <c r="E19" s="281">
        <v>22869245</v>
      </c>
      <c r="F19" s="281"/>
      <c r="G19" s="281">
        <v>16680003</v>
      </c>
      <c r="H19" s="231"/>
      <c r="I19" s="282">
        <f t="shared" si="0"/>
        <v>0.37105760712393154</v>
      </c>
      <c r="L19" s="281"/>
    </row>
    <row r="20" spans="1:12" ht="13.5" customHeight="1">
      <c r="A20" s="246">
        <v>16</v>
      </c>
      <c r="B20" s="246"/>
      <c r="C20" s="280" t="s">
        <v>26</v>
      </c>
      <c r="D20" s="251"/>
      <c r="E20" s="281">
        <v>22430545</v>
      </c>
      <c r="F20" s="281"/>
      <c r="G20" s="281">
        <v>14917675</v>
      </c>
      <c r="H20" s="231"/>
      <c r="I20" s="282">
        <f t="shared" si="0"/>
        <v>0.5036220456606006</v>
      </c>
      <c r="L20" s="281"/>
    </row>
    <row r="21" spans="1:12" ht="13.5" customHeight="1">
      <c r="A21" s="246">
        <v>17</v>
      </c>
      <c r="B21" s="246"/>
      <c r="C21" s="280" t="s">
        <v>440</v>
      </c>
      <c r="D21" s="246" t="s">
        <v>469</v>
      </c>
      <c r="E21" s="281">
        <v>22147806</v>
      </c>
      <c r="F21" s="281"/>
      <c r="G21" s="281">
        <v>18541822</v>
      </c>
      <c r="H21" s="231"/>
      <c r="I21" s="282">
        <f t="shared" si="0"/>
        <v>0.1944784067067411</v>
      </c>
      <c r="L21" s="281"/>
    </row>
    <row r="22" spans="1:12" ht="13.5" customHeight="1">
      <c r="A22" s="246">
        <v>18</v>
      </c>
      <c r="B22" s="246"/>
      <c r="C22" s="280" t="s">
        <v>265</v>
      </c>
      <c r="D22" s="246"/>
      <c r="E22" s="281">
        <v>21605517</v>
      </c>
      <c r="F22" s="281"/>
      <c r="G22" s="281">
        <v>17776934</v>
      </c>
      <c r="H22" s="231"/>
      <c r="I22" s="282">
        <f t="shared" si="0"/>
        <v>0.21536801565444308</v>
      </c>
      <c r="L22" s="281"/>
    </row>
    <row r="23" spans="1:12" ht="13.5" customHeight="1">
      <c r="A23" s="246">
        <v>19</v>
      </c>
      <c r="B23" s="246"/>
      <c r="C23" s="280" t="s">
        <v>28</v>
      </c>
      <c r="D23" s="251"/>
      <c r="E23" s="281">
        <v>20905368</v>
      </c>
      <c r="F23" s="281"/>
      <c r="G23" s="281">
        <v>18235581</v>
      </c>
      <c r="H23" s="231"/>
      <c r="I23" s="282">
        <f t="shared" si="0"/>
        <v>0.1464053709064712</v>
      </c>
      <c r="L23" s="281"/>
    </row>
    <row r="24" spans="1:12" ht="13.5" customHeight="1">
      <c r="A24" s="246">
        <v>20</v>
      </c>
      <c r="B24" s="246"/>
      <c r="C24" s="280" t="s">
        <v>159</v>
      </c>
      <c r="D24" s="251"/>
      <c r="E24" s="281">
        <v>14087989</v>
      </c>
      <c r="F24" s="281"/>
      <c r="G24" s="281">
        <v>11730153</v>
      </c>
      <c r="H24" s="231"/>
      <c r="I24" s="282">
        <f t="shared" si="0"/>
        <v>0.2010064148353392</v>
      </c>
      <c r="L24" s="281"/>
    </row>
    <row r="25" spans="1:12" ht="13.5" customHeight="1">
      <c r="A25" s="246">
        <v>21</v>
      </c>
      <c r="B25" s="246"/>
      <c r="C25" s="280" t="s">
        <v>172</v>
      </c>
      <c r="D25" s="246" t="s">
        <v>469</v>
      </c>
      <c r="E25" s="281">
        <v>13179379</v>
      </c>
      <c r="F25" s="281"/>
      <c r="G25" s="281">
        <v>11462023</v>
      </c>
      <c r="H25" s="231"/>
      <c r="I25" s="282">
        <f t="shared" si="0"/>
        <v>0.14983009543777737</v>
      </c>
      <c r="L25" s="281"/>
    </row>
    <row r="26" spans="1:12" ht="13.5" customHeight="1">
      <c r="A26" s="246">
        <v>22</v>
      </c>
      <c r="B26" s="246"/>
      <c r="C26" s="280" t="s">
        <v>424</v>
      </c>
      <c r="D26" s="251"/>
      <c r="E26" s="281">
        <v>11865756</v>
      </c>
      <c r="F26" s="281"/>
      <c r="G26" s="281">
        <v>10679590</v>
      </c>
      <c r="H26" s="231"/>
      <c r="I26" s="282">
        <f t="shared" si="0"/>
        <v>0.11106849607522395</v>
      </c>
      <c r="L26" s="281"/>
    </row>
    <row r="27" spans="1:12" ht="13.5" customHeight="1">
      <c r="A27" s="246">
        <v>23</v>
      </c>
      <c r="B27" s="246"/>
      <c r="C27" s="280" t="s">
        <v>450</v>
      </c>
      <c r="D27" s="246" t="s">
        <v>471</v>
      </c>
      <c r="E27" s="281">
        <v>7064000</v>
      </c>
      <c r="F27" s="281"/>
      <c r="G27" s="281">
        <v>6265271</v>
      </c>
      <c r="H27" s="231"/>
      <c r="I27" s="282">
        <f t="shared" si="0"/>
        <v>0.12748514788905374</v>
      </c>
      <c r="L27" s="281"/>
    </row>
    <row r="28" spans="1:12" ht="13.5" customHeight="1">
      <c r="A28" s="246">
        <v>24</v>
      </c>
      <c r="B28" s="246"/>
      <c r="C28" s="280" t="s">
        <v>30</v>
      </c>
      <c r="D28" s="246"/>
      <c r="E28" s="281">
        <v>3882037</v>
      </c>
      <c r="F28" s="281"/>
      <c r="G28" s="281">
        <v>3328634</v>
      </c>
      <c r="H28" s="231"/>
      <c r="I28" s="282">
        <f t="shared" si="0"/>
        <v>0.16625528670319412</v>
      </c>
      <c r="L28" s="281"/>
    </row>
    <row r="29" spans="1:12" ht="13.5" customHeight="1">
      <c r="A29" s="246">
        <v>25</v>
      </c>
      <c r="B29" s="246"/>
      <c r="C29" s="280" t="s">
        <v>421</v>
      </c>
      <c r="D29" s="246" t="s">
        <v>472</v>
      </c>
      <c r="E29" s="281">
        <v>3814144</v>
      </c>
      <c r="F29" s="281"/>
      <c r="G29" s="281">
        <v>3518680</v>
      </c>
      <c r="H29" s="231"/>
      <c r="I29" s="282">
        <f t="shared" si="0"/>
        <v>0.08397012516057156</v>
      </c>
      <c r="L29" s="281"/>
    </row>
    <row r="30" spans="1:12" ht="13.5" customHeight="1">
      <c r="A30" s="246">
        <v>26</v>
      </c>
      <c r="B30" s="246"/>
      <c r="C30" s="280" t="s">
        <v>164</v>
      </c>
      <c r="D30" s="246" t="s">
        <v>473</v>
      </c>
      <c r="E30" s="281">
        <v>2886162</v>
      </c>
      <c r="F30" s="281"/>
      <c r="G30" s="281">
        <v>2635239</v>
      </c>
      <c r="H30" s="231"/>
      <c r="I30" s="282">
        <f t="shared" si="0"/>
        <v>0.09521830847221069</v>
      </c>
      <c r="L30" s="281"/>
    </row>
    <row r="31" spans="1:12" ht="13.5" customHeight="1">
      <c r="A31" s="246">
        <v>27</v>
      </c>
      <c r="B31" s="246"/>
      <c r="C31" s="280" t="s">
        <v>175</v>
      </c>
      <c r="D31" s="251"/>
      <c r="E31" s="281">
        <v>2542032</v>
      </c>
      <c r="F31" s="281"/>
      <c r="G31" s="281">
        <v>2138223</v>
      </c>
      <c r="H31" s="231"/>
      <c r="I31" s="282">
        <f t="shared" si="0"/>
        <v>0.18885261266013886</v>
      </c>
      <c r="L31" s="281"/>
    </row>
    <row r="32" spans="1:12" ht="13.5" customHeight="1">
      <c r="A32" s="246">
        <v>28</v>
      </c>
      <c r="B32" s="246"/>
      <c r="C32" s="280" t="s">
        <v>171</v>
      </c>
      <c r="D32" s="246" t="s">
        <v>469</v>
      </c>
      <c r="E32" s="281">
        <v>2392116</v>
      </c>
      <c r="F32" s="281"/>
      <c r="G32" s="281">
        <v>2063520</v>
      </c>
      <c r="H32" s="231"/>
      <c r="I32" s="282">
        <f t="shared" si="0"/>
        <v>0.1592405210514074</v>
      </c>
      <c r="L32" s="281"/>
    </row>
    <row r="33" spans="1:12" ht="13.5" customHeight="1">
      <c r="A33" s="246">
        <v>29</v>
      </c>
      <c r="B33" s="246"/>
      <c r="C33" s="280" t="s">
        <v>168</v>
      </c>
      <c r="D33" s="246" t="s">
        <v>469</v>
      </c>
      <c r="E33" s="281">
        <v>2378238</v>
      </c>
      <c r="F33" s="281"/>
      <c r="G33" s="281">
        <v>2144938</v>
      </c>
      <c r="H33" s="231"/>
      <c r="I33" s="282">
        <f t="shared" si="0"/>
        <v>0.10876771263318563</v>
      </c>
      <c r="L33" s="281"/>
    </row>
    <row r="34" spans="1:12" ht="13.5" customHeight="1">
      <c r="A34" s="246">
        <v>30</v>
      </c>
      <c r="B34" s="246"/>
      <c r="C34" s="280" t="s">
        <v>160</v>
      </c>
      <c r="D34" s="246" t="s">
        <v>469</v>
      </c>
      <c r="E34" s="281">
        <v>2186980</v>
      </c>
      <c r="F34" s="281"/>
      <c r="G34" s="281">
        <v>1859531</v>
      </c>
      <c r="H34" s="231"/>
      <c r="I34" s="282">
        <f t="shared" si="0"/>
        <v>0.1760922512181835</v>
      </c>
      <c r="L34" s="281"/>
    </row>
    <row r="35" spans="1:12" ht="13.5" customHeight="1">
      <c r="A35" s="246">
        <v>31</v>
      </c>
      <c r="B35" s="246"/>
      <c r="C35" s="280" t="s">
        <v>454</v>
      </c>
      <c r="D35" s="246" t="s">
        <v>473</v>
      </c>
      <c r="E35" s="281">
        <v>1766300</v>
      </c>
      <c r="F35" s="281"/>
      <c r="G35" s="281">
        <v>1596327</v>
      </c>
      <c r="H35" s="231"/>
      <c r="I35" s="282">
        <f t="shared" si="0"/>
        <v>0.10647755754303478</v>
      </c>
      <c r="L35" s="281"/>
    </row>
    <row r="36" spans="1:12" ht="13.5" customHeight="1">
      <c r="A36" s="246">
        <v>32</v>
      </c>
      <c r="B36" s="246"/>
      <c r="C36" s="280" t="s">
        <v>441</v>
      </c>
      <c r="D36" s="246" t="s">
        <v>469</v>
      </c>
      <c r="E36" s="281">
        <v>1124824</v>
      </c>
      <c r="F36" s="281"/>
      <c r="G36" s="281">
        <v>1030488</v>
      </c>
      <c r="H36" s="231"/>
      <c r="I36" s="282">
        <f t="shared" si="0"/>
        <v>0.09154497674888007</v>
      </c>
      <c r="L36" s="281"/>
    </row>
    <row r="37" spans="1:12" ht="13.5" customHeight="1">
      <c r="A37" s="246">
        <v>33</v>
      </c>
      <c r="B37" s="246"/>
      <c r="C37" s="280" t="s">
        <v>455</v>
      </c>
      <c r="D37" s="246" t="s">
        <v>469</v>
      </c>
      <c r="E37" s="281">
        <v>800865</v>
      </c>
      <c r="F37" s="281"/>
      <c r="G37" s="281">
        <v>681958</v>
      </c>
      <c r="H37" s="231"/>
      <c r="I37" s="282">
        <f t="shared" si="0"/>
        <v>0.17436117766783288</v>
      </c>
      <c r="L37" s="281"/>
    </row>
    <row r="38" spans="1:12" ht="13.5" customHeight="1">
      <c r="A38" s="246">
        <v>34</v>
      </c>
      <c r="B38" s="246"/>
      <c r="C38" s="280" t="s">
        <v>449</v>
      </c>
      <c r="D38" s="246" t="s">
        <v>473</v>
      </c>
      <c r="E38" s="281">
        <v>777183</v>
      </c>
      <c r="F38" s="281"/>
      <c r="G38" s="281">
        <v>733214</v>
      </c>
      <c r="H38" s="231"/>
      <c r="I38" s="282">
        <f t="shared" si="0"/>
        <v>0.05996748561811427</v>
      </c>
      <c r="L38" s="281"/>
    </row>
    <row r="39" spans="1:12" ht="13.5" customHeight="1">
      <c r="A39" s="246">
        <v>35</v>
      </c>
      <c r="B39" s="246"/>
      <c r="C39" s="280" t="s">
        <v>5</v>
      </c>
      <c r="D39" s="246" t="s">
        <v>473</v>
      </c>
      <c r="E39" s="281">
        <v>693277</v>
      </c>
      <c r="F39" s="281"/>
      <c r="G39" s="281">
        <v>647776</v>
      </c>
      <c r="H39" s="231"/>
      <c r="I39" s="282">
        <f t="shared" si="0"/>
        <v>0.07024187373413038</v>
      </c>
      <c r="L39" s="281"/>
    </row>
    <row r="40" spans="1:12" ht="13.5" customHeight="1">
      <c r="A40" s="246">
        <v>36</v>
      </c>
      <c r="B40" s="246"/>
      <c r="C40" s="280" t="s">
        <v>167</v>
      </c>
      <c r="D40" s="246" t="s">
        <v>473</v>
      </c>
      <c r="E40" s="281">
        <v>537615</v>
      </c>
      <c r="F40" s="281"/>
      <c r="G40" s="281">
        <v>514859</v>
      </c>
      <c r="H40" s="231"/>
      <c r="I40" s="282">
        <f t="shared" si="0"/>
        <v>0.04419850871792086</v>
      </c>
      <c r="L40" s="281"/>
    </row>
    <row r="41" spans="1:12" ht="13.5" customHeight="1">
      <c r="A41" s="246">
        <v>37</v>
      </c>
      <c r="B41" s="246"/>
      <c r="C41" s="280" t="s">
        <v>442</v>
      </c>
      <c r="D41" s="246" t="s">
        <v>473</v>
      </c>
      <c r="E41" s="281">
        <v>470205</v>
      </c>
      <c r="F41" s="281"/>
      <c r="G41" s="281">
        <v>457851</v>
      </c>
      <c r="H41" s="231"/>
      <c r="I41" s="282">
        <f t="shared" si="0"/>
        <v>0.02698257730134923</v>
      </c>
      <c r="L41" s="281"/>
    </row>
    <row r="42" spans="1:12" ht="13.5" customHeight="1">
      <c r="A42" s="246">
        <v>38</v>
      </c>
      <c r="B42" s="246"/>
      <c r="C42" s="280" t="s">
        <v>169</v>
      </c>
      <c r="D42" s="246" t="s">
        <v>469</v>
      </c>
      <c r="E42" s="281">
        <v>451429</v>
      </c>
      <c r="F42" s="281"/>
      <c r="G42" s="281">
        <v>419890</v>
      </c>
      <c r="H42" s="231"/>
      <c r="I42" s="282">
        <f t="shared" si="0"/>
        <v>0.07511252947200453</v>
      </c>
      <c r="L42" s="281"/>
    </row>
    <row r="43" spans="1:12" ht="13.5" customHeight="1">
      <c r="A43" s="246">
        <v>39</v>
      </c>
      <c r="B43" s="246"/>
      <c r="C43" s="280" t="s">
        <v>443</v>
      </c>
      <c r="D43" s="246" t="s">
        <v>469</v>
      </c>
      <c r="E43" s="281">
        <v>443865</v>
      </c>
      <c r="F43" s="281"/>
      <c r="G43" s="281">
        <v>212579</v>
      </c>
      <c r="H43" s="231"/>
      <c r="I43" s="282">
        <f t="shared" si="0"/>
        <v>1.088000225798409</v>
      </c>
      <c r="L43" s="281"/>
    </row>
    <row r="44" spans="1:12" ht="13.5" customHeight="1">
      <c r="A44" s="246">
        <v>40</v>
      </c>
      <c r="B44" s="246"/>
      <c r="C44" s="280" t="s">
        <v>174</v>
      </c>
      <c r="D44" s="246" t="s">
        <v>469</v>
      </c>
      <c r="E44" s="281">
        <v>64523</v>
      </c>
      <c r="F44" s="281"/>
      <c r="G44" s="281">
        <v>55887</v>
      </c>
      <c r="H44" s="231"/>
      <c r="I44" s="282">
        <f t="shared" si="0"/>
        <v>0.15452609730348743</v>
      </c>
      <c r="L44" s="281"/>
    </row>
    <row r="45" spans="1:12" ht="13.5" customHeight="1">
      <c r="A45" s="246">
        <v>41</v>
      </c>
      <c r="B45" s="246"/>
      <c r="C45" s="280" t="s">
        <v>451</v>
      </c>
      <c r="D45" s="246" t="s">
        <v>471</v>
      </c>
      <c r="E45" s="285">
        <v>27471</v>
      </c>
      <c r="F45" s="281"/>
      <c r="G45" s="281">
        <v>71767</v>
      </c>
      <c r="H45" s="231"/>
      <c r="I45" s="282">
        <f t="shared" si="0"/>
        <v>-0.6172196134713727</v>
      </c>
      <c r="L45" s="281"/>
    </row>
    <row r="46" spans="1:12" ht="15.75" customHeight="1" thickBot="1">
      <c r="A46" s="249"/>
      <c r="B46" s="246"/>
      <c r="C46" s="252" t="s">
        <v>474</v>
      </c>
      <c r="D46" s="251"/>
      <c r="E46" s="274">
        <f>SUM(E5:E45)</f>
        <v>1498809930</v>
      </c>
      <c r="F46" s="248"/>
      <c r="G46" s="274">
        <f>SUM(G5:G45)</f>
        <v>1219554451</v>
      </c>
      <c r="H46" s="286"/>
      <c r="I46" s="287">
        <f>(E46/G46)-1</f>
        <v>0.22898155861021086</v>
      </c>
      <c r="L46" s="281"/>
    </row>
    <row r="47" spans="1:12" ht="15.75" customHeight="1" thickTop="1">
      <c r="A47" s="249"/>
      <c r="B47" s="246"/>
      <c r="C47" s="252"/>
      <c r="F47" s="248"/>
      <c r="H47" s="244"/>
      <c r="I47" s="267"/>
      <c r="L47" s="250"/>
    </row>
    <row r="48" spans="1:12" ht="15.75" customHeight="1">
      <c r="A48" s="249"/>
      <c r="B48" s="246"/>
      <c r="C48" s="252"/>
      <c r="F48" s="248"/>
      <c r="H48" s="244"/>
      <c r="I48" s="267"/>
      <c r="L48" s="250"/>
    </row>
    <row r="49" spans="1:12" ht="15.75" customHeight="1">
      <c r="A49" s="249"/>
      <c r="B49" s="246"/>
      <c r="C49" s="252"/>
      <c r="E49" s="275"/>
      <c r="F49" s="248"/>
      <c r="H49" s="244"/>
      <c r="I49" s="267"/>
      <c r="L49" s="250"/>
    </row>
    <row r="50" spans="1:12" ht="12.75" customHeight="1">
      <c r="A50" s="269"/>
      <c r="B50" s="269"/>
      <c r="C50" s="270"/>
      <c r="L50" s="250"/>
    </row>
    <row r="51" spans="1:12" ht="12.75">
      <c r="A51" s="277" t="s">
        <v>475</v>
      </c>
      <c r="L51" s="250"/>
    </row>
    <row r="52" spans="1:12" ht="12.75" customHeight="1">
      <c r="A52" s="278" t="s">
        <v>476</v>
      </c>
      <c r="I52" s="271"/>
      <c r="L52" s="272"/>
    </row>
    <row r="53" spans="1:9" ht="12.75" customHeight="1">
      <c r="A53" s="278" t="s">
        <v>479</v>
      </c>
      <c r="I53" s="271"/>
    </row>
    <row r="54" spans="1:9" ht="12.75" customHeight="1">
      <c r="A54" s="278" t="s">
        <v>477</v>
      </c>
      <c r="I54" s="271"/>
    </row>
    <row r="55" ht="12.75">
      <c r="A55" s="278" t="s">
        <v>478</v>
      </c>
    </row>
    <row r="56" ht="12.75">
      <c r="E56" s="273"/>
    </row>
  </sheetData>
  <sheetProtection/>
  <printOptions/>
  <pageMargins left="0.7480314960629921" right="0.31496062992125984" top="0.984251968503937" bottom="0" header="0.5118110236220472" footer="0.15748031496062992"/>
  <pageSetup firstPageNumber="7" useFirstPageNumber="1" horizontalDpi="600" verticalDpi="600" orientation="portrait" paperSize="9" r:id="rId1"/>
  <headerFooter alignWithMargins="0">
    <oddHeader>&amp;C&amp;"Times New Roman,Bold"&amp;12 2.2. YFIRLIT YFIR LÍFEYRISSJÓÐI Í STÆRÐARRÖÐ 31.12.2006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46" sqref="E46:H46"/>
    </sheetView>
  </sheetViews>
  <sheetFormatPr defaultColWidth="9.140625" defaultRowHeight="12.75"/>
  <cols>
    <col min="1" max="1" width="3.28125" style="326" customWidth="1"/>
    <col min="2" max="2" width="0.9921875" style="326" customWidth="1"/>
    <col min="3" max="3" width="28.421875" style="326" customWidth="1"/>
    <col min="4" max="4" width="12.28125" style="326" customWidth="1"/>
    <col min="5" max="8" width="10.7109375" style="326" customWidth="1"/>
    <col min="9" max="9" width="0.85546875" style="326" customWidth="1"/>
    <col min="10" max="10" width="10.7109375" style="326" customWidth="1"/>
    <col min="11" max="16384" width="9.140625" style="326" customWidth="1"/>
  </cols>
  <sheetData>
    <row r="1" spans="1:10" ht="27.75" customHeight="1">
      <c r="A1" s="345"/>
      <c r="B1" s="345"/>
      <c r="C1" s="345"/>
      <c r="D1" s="345"/>
      <c r="E1" s="358" t="s">
        <v>428</v>
      </c>
      <c r="F1" s="358"/>
      <c r="G1" s="358"/>
      <c r="H1" s="358"/>
      <c r="I1" s="335"/>
      <c r="J1" s="334" t="s">
        <v>429</v>
      </c>
    </row>
    <row r="2" spans="1:10" ht="12" customHeight="1">
      <c r="A2" s="246"/>
      <c r="B2" s="246"/>
      <c r="C2" s="247"/>
      <c r="D2" s="336" t="s">
        <v>430</v>
      </c>
      <c r="E2" s="337" t="s">
        <v>431</v>
      </c>
      <c r="F2" s="337" t="s">
        <v>432</v>
      </c>
      <c r="G2" s="337" t="s">
        <v>433</v>
      </c>
      <c r="H2" s="338" t="s">
        <v>434</v>
      </c>
      <c r="I2" s="338"/>
      <c r="J2" s="345"/>
    </row>
    <row r="3" spans="1:10" ht="12.75">
      <c r="A3" s="246"/>
      <c r="B3" s="246"/>
      <c r="C3" s="247" t="s">
        <v>8</v>
      </c>
      <c r="D3" s="339" t="s">
        <v>435</v>
      </c>
      <c r="E3" s="340"/>
      <c r="F3" s="337" t="s">
        <v>436</v>
      </c>
      <c r="G3" s="337" t="s">
        <v>436</v>
      </c>
      <c r="H3" s="338" t="s">
        <v>437</v>
      </c>
      <c r="I3" s="338"/>
      <c r="J3" s="340"/>
    </row>
    <row r="4" spans="1:10" ht="5.25" customHeight="1">
      <c r="A4" s="246"/>
      <c r="B4" s="246"/>
      <c r="C4" s="247"/>
      <c r="D4" s="248"/>
      <c r="E4" s="248"/>
      <c r="F4" s="248"/>
      <c r="G4" s="248"/>
      <c r="H4" s="248"/>
      <c r="I4" s="248"/>
      <c r="J4" s="248"/>
    </row>
    <row r="5" spans="1:10" ht="14.25" customHeight="1">
      <c r="A5" s="246">
        <v>1</v>
      </c>
      <c r="B5" s="246"/>
      <c r="C5" s="257" t="s">
        <v>453</v>
      </c>
      <c r="D5" s="341">
        <f aca="true" t="shared" si="0" ref="D5:D45">SUM(E5:J5)</f>
        <v>282259925</v>
      </c>
      <c r="E5" s="341">
        <f>+'4.1. Samtryggingard.'!C64</f>
        <v>91184602</v>
      </c>
      <c r="F5" s="244">
        <f>+'4.1. Samtryggingard.'!D64</f>
        <v>185400903</v>
      </c>
      <c r="G5" s="244"/>
      <c r="H5" s="244"/>
      <c r="I5" s="244"/>
      <c r="J5" s="244">
        <f>+'5.1. Séreignard.'!C65+'5.1. Séreignard.'!D65+'5.1. Séreignard.'!E65</f>
        <v>5674420</v>
      </c>
    </row>
    <row r="6" spans="1:10" ht="14.25" customHeight="1">
      <c r="A6" s="246">
        <v>2</v>
      </c>
      <c r="B6" s="246"/>
      <c r="C6" s="257" t="s">
        <v>439</v>
      </c>
      <c r="D6" s="341">
        <f t="shared" si="0"/>
        <v>240348888</v>
      </c>
      <c r="E6" s="341"/>
      <c r="F6" s="244"/>
      <c r="G6" s="244"/>
      <c r="H6" s="244">
        <f>+'4.1. Samtryggingard.'!E64</f>
        <v>234770059</v>
      </c>
      <c r="I6" s="244"/>
      <c r="J6" s="244">
        <f>+'5.1. Séreignard.'!F65</f>
        <v>5578829</v>
      </c>
    </row>
    <row r="7" spans="1:10" ht="14.25" customHeight="1">
      <c r="A7" s="246">
        <v>3</v>
      </c>
      <c r="B7" s="246"/>
      <c r="C7" s="257" t="s">
        <v>25</v>
      </c>
      <c r="D7" s="341">
        <f t="shared" si="0"/>
        <v>215411276</v>
      </c>
      <c r="E7" s="341"/>
      <c r="F7" s="244"/>
      <c r="G7" s="244"/>
      <c r="H7" s="244">
        <f>+'4.1. Samtryggingard.'!F64</f>
        <v>213424953</v>
      </c>
      <c r="I7" s="244"/>
      <c r="J7" s="244">
        <f>+'5.1. Séreignard.'!G65+'5.1. Séreignard.'!H65+'5.1. Séreignard.'!I65</f>
        <v>1986323</v>
      </c>
    </row>
    <row r="8" spans="1:10" ht="14.25" customHeight="1">
      <c r="A8" s="246">
        <v>4</v>
      </c>
      <c r="B8" s="246"/>
      <c r="C8" s="257" t="s">
        <v>0</v>
      </c>
      <c r="D8" s="341">
        <f t="shared" si="0"/>
        <v>88373001</v>
      </c>
      <c r="E8" s="341">
        <f>+'4.1. Samtryggingard.'!H64</f>
        <v>78774371</v>
      </c>
      <c r="F8" s="244"/>
      <c r="G8" s="244">
        <f>+'4.1. Samtryggingard.'!G64</f>
        <v>6783209</v>
      </c>
      <c r="H8" s="244"/>
      <c r="I8" s="244"/>
      <c r="J8" s="244">
        <f>+'5.1. Séreignard.'!J65+'5.1. Séreignard.'!K65+'5.1. Séreignard.'!L65+'5.1. Séreignard.'!M65+'5.1. Séreignard.'!N65+'5.1. Séreignard.'!O65+'5.1. Séreignard.'!P65</f>
        <v>2815421</v>
      </c>
    </row>
    <row r="9" spans="1:10" ht="14.25" customHeight="1">
      <c r="A9" s="246">
        <v>5</v>
      </c>
      <c r="B9" s="246"/>
      <c r="C9" s="257" t="s">
        <v>23</v>
      </c>
      <c r="D9" s="341">
        <f t="shared" si="0"/>
        <v>83242551</v>
      </c>
      <c r="E9" s="341"/>
      <c r="F9" s="244"/>
      <c r="G9" s="244"/>
      <c r="H9" s="244">
        <f>+'4.1. Samtryggingard.'!I64+'4.1. Samtryggingard.'!J64+'4.1. Samtryggingard.'!K64</f>
        <v>36233579</v>
      </c>
      <c r="I9" s="244"/>
      <c r="J9" s="244">
        <f>+'5.1. Séreignard.'!Q65+'5.1. Séreignard.'!R65+'5.1. Séreignard.'!S65+'5.1. Séreignard.'!T65</f>
        <v>47008972</v>
      </c>
    </row>
    <row r="10" spans="1:10" ht="14.25" customHeight="1">
      <c r="A10" s="246">
        <v>6</v>
      </c>
      <c r="B10" s="246"/>
      <c r="C10" s="257" t="s">
        <v>33</v>
      </c>
      <c r="D10" s="341">
        <f t="shared" si="0"/>
        <v>74710215</v>
      </c>
      <c r="E10" s="341"/>
      <c r="F10" s="244"/>
      <c r="G10" s="244">
        <f>+'4.1. Samtryggingard.'!L64</f>
        <v>71525550</v>
      </c>
      <c r="H10" s="244"/>
      <c r="I10" s="244"/>
      <c r="J10" s="244">
        <f>+'5.1. Séreignard.'!U65+'5.1. Séreignard.'!V65+'5.1. Séreignard.'!W65+'5.1. Séreignard.'!X65+'5.1. Séreignard.'!Y65</f>
        <v>3184665</v>
      </c>
    </row>
    <row r="11" spans="1:10" ht="14.25" customHeight="1">
      <c r="A11" s="246">
        <v>7</v>
      </c>
      <c r="B11" s="246"/>
      <c r="C11" s="257" t="s">
        <v>262</v>
      </c>
      <c r="D11" s="341">
        <f t="shared" si="0"/>
        <v>59613928</v>
      </c>
      <c r="E11" s="341"/>
      <c r="F11" s="244"/>
      <c r="G11" s="244">
        <f>+'4.1. Samtryggingard.'!M64</f>
        <v>11491637</v>
      </c>
      <c r="H11" s="244"/>
      <c r="I11" s="244"/>
      <c r="J11" s="244">
        <f>+'5.1. Séreignard.'!Z65+'5.1. Séreignard.'!AA65+'5.1. Séreignard.'!AB65</f>
        <v>48122291</v>
      </c>
    </row>
    <row r="12" spans="1:10" ht="14.25" customHeight="1">
      <c r="A12" s="246">
        <v>8</v>
      </c>
      <c r="B12" s="246"/>
      <c r="C12" s="258" t="s">
        <v>29</v>
      </c>
      <c r="D12" s="341">
        <f t="shared" si="0"/>
        <v>56431731</v>
      </c>
      <c r="E12" s="342"/>
      <c r="F12" s="244"/>
      <c r="G12" s="244"/>
      <c r="H12" s="244">
        <f>+'4.1. Samtryggingard.'!N64</f>
        <v>54355365</v>
      </c>
      <c r="I12" s="244"/>
      <c r="J12" s="244">
        <f>+'5.1. Séreignard.'!AC65+'5.1. Séreignard.'!AD65</f>
        <v>2076366</v>
      </c>
    </row>
    <row r="13" spans="1:10" ht="14.25" customHeight="1">
      <c r="A13" s="246">
        <v>9</v>
      </c>
      <c r="B13" s="246"/>
      <c r="C13" s="257" t="s">
        <v>452</v>
      </c>
      <c r="D13" s="341">
        <f t="shared" si="0"/>
        <v>50924638</v>
      </c>
      <c r="E13" s="341"/>
      <c r="F13" s="244"/>
      <c r="G13" s="244"/>
      <c r="H13" s="244">
        <f>+'4.1. Samtryggingard.'!O64</f>
        <v>50594350</v>
      </c>
      <c r="I13" s="244"/>
      <c r="J13" s="244">
        <f>+'5.1. Séreignard.'!AE65</f>
        <v>330288</v>
      </c>
    </row>
    <row r="14" spans="1:10" ht="14.25" customHeight="1">
      <c r="A14" s="246">
        <v>10</v>
      </c>
      <c r="B14" s="246"/>
      <c r="C14" s="257" t="s">
        <v>24</v>
      </c>
      <c r="D14" s="341">
        <f t="shared" si="0"/>
        <v>48634303</v>
      </c>
      <c r="E14" s="341"/>
      <c r="F14" s="244"/>
      <c r="G14" s="244"/>
      <c r="H14" s="244">
        <f>+'4.1. Samtryggingard.'!P64</f>
        <v>48532662</v>
      </c>
      <c r="I14" s="244"/>
      <c r="J14" s="244">
        <f>+'5.1. Séreignard.'!AF65</f>
        <v>101641</v>
      </c>
    </row>
    <row r="15" spans="1:10" ht="14.25" customHeight="1">
      <c r="A15" s="246">
        <v>11</v>
      </c>
      <c r="B15" s="246"/>
      <c r="C15" s="257" t="s">
        <v>3</v>
      </c>
      <c r="D15" s="341">
        <f t="shared" si="0"/>
        <v>34819789</v>
      </c>
      <c r="E15" s="341">
        <f>+'4.1. Samtryggingard.'!R64</f>
        <v>10080709</v>
      </c>
      <c r="F15" s="244">
        <f>+'4.1. Samtryggingard.'!Q64</f>
        <v>24739080</v>
      </c>
      <c r="G15" s="244"/>
      <c r="H15" s="244"/>
      <c r="I15" s="244"/>
      <c r="J15" s="244"/>
    </row>
    <row r="16" spans="1:10" ht="14.25" customHeight="1">
      <c r="A16" s="246">
        <v>12</v>
      </c>
      <c r="B16" s="246"/>
      <c r="C16" s="257" t="s">
        <v>27</v>
      </c>
      <c r="D16" s="341">
        <f t="shared" si="0"/>
        <v>27458144</v>
      </c>
      <c r="E16" s="341"/>
      <c r="F16" s="244"/>
      <c r="G16" s="345"/>
      <c r="H16" s="244">
        <f>+'4.1. Samtryggingard.'!S64</f>
        <v>27371507</v>
      </c>
      <c r="I16" s="244"/>
      <c r="J16" s="244">
        <f>+'5.1. Séreignard.'!AG65</f>
        <v>86637</v>
      </c>
    </row>
    <row r="17" spans="1:10" ht="14.25" customHeight="1">
      <c r="A17" s="246">
        <v>13</v>
      </c>
      <c r="B17" s="246"/>
      <c r="C17" s="257" t="s">
        <v>31</v>
      </c>
      <c r="D17" s="341">
        <f t="shared" si="0"/>
        <v>27218311</v>
      </c>
      <c r="E17" s="341"/>
      <c r="F17" s="244"/>
      <c r="G17" s="244">
        <f>+'4.1. Samtryggingard.'!T64</f>
        <v>25780336</v>
      </c>
      <c r="H17" s="244"/>
      <c r="I17" s="244"/>
      <c r="J17" s="244">
        <f>+'5.1. Séreignard.'!AH65+'5.1. Séreignard.'!AI65</f>
        <v>1437975</v>
      </c>
    </row>
    <row r="18" spans="1:10" ht="14.25" customHeight="1">
      <c r="A18" s="246">
        <v>14</v>
      </c>
      <c r="B18" s="246"/>
      <c r="C18" s="257" t="s">
        <v>32</v>
      </c>
      <c r="D18" s="341">
        <f t="shared" si="0"/>
        <v>25968359</v>
      </c>
      <c r="E18" s="341"/>
      <c r="F18" s="244"/>
      <c r="G18" s="244"/>
      <c r="H18" s="244">
        <f>+'4.1. Samtryggingard.'!U64</f>
        <v>25645214</v>
      </c>
      <c r="I18" s="244"/>
      <c r="J18" s="244">
        <f>+'5.1. Séreignard.'!AJ65</f>
        <v>323145</v>
      </c>
    </row>
    <row r="19" spans="1:10" ht="14.25" customHeight="1">
      <c r="A19" s="246">
        <v>15</v>
      </c>
      <c r="B19" s="246"/>
      <c r="C19" s="257" t="s">
        <v>486</v>
      </c>
      <c r="D19" s="341">
        <f t="shared" si="0"/>
        <v>22869245</v>
      </c>
      <c r="E19" s="341">
        <f>+'4.1. Samtryggingard.'!V64</f>
        <v>20241933</v>
      </c>
      <c r="F19" s="244"/>
      <c r="G19" s="244">
        <f>+'4.1. Samtryggingard.'!W64</f>
        <v>1900230</v>
      </c>
      <c r="H19" s="244"/>
      <c r="I19" s="244"/>
      <c r="J19" s="244">
        <f>+'5.1. Séreignard.'!AK65+'5.1. Séreignard.'!AL65+'5.1. Séreignard.'!AM65</f>
        <v>727082</v>
      </c>
    </row>
    <row r="20" spans="1:10" ht="14.25" customHeight="1">
      <c r="A20" s="246">
        <v>16</v>
      </c>
      <c r="B20" s="246"/>
      <c r="C20" s="257" t="s">
        <v>26</v>
      </c>
      <c r="D20" s="341">
        <f t="shared" si="0"/>
        <v>22430545</v>
      </c>
      <c r="E20" s="341"/>
      <c r="F20" s="244"/>
      <c r="G20" s="244">
        <f>+'4.1. Samtryggingard.'!X64</f>
        <v>2369364</v>
      </c>
      <c r="H20" s="244"/>
      <c r="I20" s="244"/>
      <c r="J20" s="244">
        <f>+'5.1. Séreignard.'!AN65+'5.1. Séreignard.'!AO65+'5.1. Séreignard.'!AP65+'5.1. Séreignard.'!AQ65</f>
        <v>20061181</v>
      </c>
    </row>
    <row r="21" spans="1:10" ht="14.25" customHeight="1">
      <c r="A21" s="246">
        <v>17</v>
      </c>
      <c r="B21" s="246"/>
      <c r="C21" s="257" t="s">
        <v>440</v>
      </c>
      <c r="D21" s="341">
        <f t="shared" si="0"/>
        <v>22147806</v>
      </c>
      <c r="E21" s="341"/>
      <c r="F21" s="244">
        <f>+'4.1. Samtryggingard.'!Y64</f>
        <v>22147806</v>
      </c>
      <c r="G21" s="244"/>
      <c r="H21" s="244"/>
      <c r="I21" s="244"/>
      <c r="J21" s="244"/>
    </row>
    <row r="22" spans="1:10" ht="14.25" customHeight="1">
      <c r="A22" s="246">
        <v>18</v>
      </c>
      <c r="B22" s="246"/>
      <c r="C22" s="257" t="s">
        <v>265</v>
      </c>
      <c r="D22" s="341">
        <f t="shared" si="0"/>
        <v>21605517</v>
      </c>
      <c r="E22" s="341"/>
      <c r="F22" s="244"/>
      <c r="G22" s="244"/>
      <c r="H22" s="244">
        <f>+'4.1. Samtryggingard.'!Z64</f>
        <v>21443378</v>
      </c>
      <c r="I22" s="244"/>
      <c r="J22" s="244">
        <f>+'5.1. Séreignard.'!AR65+'5.1. Séreignard.'!AS65</f>
        <v>162139</v>
      </c>
    </row>
    <row r="23" spans="1:10" ht="14.25" customHeight="1">
      <c r="A23" s="246">
        <v>19</v>
      </c>
      <c r="B23" s="246"/>
      <c r="C23" s="257" t="s">
        <v>28</v>
      </c>
      <c r="D23" s="341">
        <f t="shared" si="0"/>
        <v>20905368</v>
      </c>
      <c r="E23" s="341"/>
      <c r="F23" s="244"/>
      <c r="G23" s="244"/>
      <c r="H23" s="244">
        <f>+'4.1. Samtryggingard.'!AA64</f>
        <v>20905368</v>
      </c>
      <c r="I23" s="244"/>
      <c r="J23" s="244"/>
    </row>
    <row r="24" spans="1:10" ht="14.25" customHeight="1">
      <c r="A24" s="246">
        <v>20</v>
      </c>
      <c r="B24" s="246"/>
      <c r="C24" s="257" t="s">
        <v>159</v>
      </c>
      <c r="D24" s="341">
        <f t="shared" si="0"/>
        <v>14087989</v>
      </c>
      <c r="E24" s="341">
        <f>+'4.1. Samtryggingard.'!AB64</f>
        <v>14087989</v>
      </c>
      <c r="F24" s="244"/>
      <c r="G24" s="244"/>
      <c r="H24" s="244"/>
      <c r="I24" s="244"/>
      <c r="J24" s="244"/>
    </row>
    <row r="25" spans="1:10" ht="14.25" customHeight="1">
      <c r="A25" s="246">
        <v>21</v>
      </c>
      <c r="B25" s="246"/>
      <c r="C25" s="257" t="s">
        <v>172</v>
      </c>
      <c r="D25" s="341">
        <f t="shared" si="0"/>
        <v>13179379</v>
      </c>
      <c r="E25" s="341"/>
      <c r="F25" s="244">
        <f>+'4.1. Samtryggingard.'!AC64</f>
        <v>13179379</v>
      </c>
      <c r="G25" s="244"/>
      <c r="H25" s="244"/>
      <c r="I25" s="244"/>
      <c r="J25" s="244"/>
    </row>
    <row r="26" spans="1:10" ht="14.25" customHeight="1">
      <c r="A26" s="246">
        <v>22</v>
      </c>
      <c r="B26" s="246"/>
      <c r="C26" s="257" t="s">
        <v>424</v>
      </c>
      <c r="D26" s="341">
        <f t="shared" si="0"/>
        <v>11865756</v>
      </c>
      <c r="E26" s="341"/>
      <c r="F26" s="244">
        <f>+'4.1. Samtryggingard.'!AD64</f>
        <v>11865756</v>
      </c>
      <c r="G26" s="244"/>
      <c r="H26" s="244"/>
      <c r="I26" s="244"/>
      <c r="J26" s="244"/>
    </row>
    <row r="27" spans="1:10" ht="14.25" customHeight="1">
      <c r="A27" s="246">
        <v>23</v>
      </c>
      <c r="B27" s="246"/>
      <c r="C27" s="257" t="s">
        <v>450</v>
      </c>
      <c r="D27" s="341">
        <f t="shared" si="0"/>
        <v>7064000</v>
      </c>
      <c r="E27" s="341"/>
      <c r="F27" s="244">
        <f>+'4.1. Samtryggingard.'!AE64</f>
        <v>7064000</v>
      </c>
      <c r="G27" s="244"/>
      <c r="H27" s="244"/>
      <c r="I27" s="244"/>
      <c r="J27" s="244"/>
    </row>
    <row r="28" spans="1:10" ht="14.25" customHeight="1">
      <c r="A28" s="246">
        <v>24</v>
      </c>
      <c r="B28" s="246"/>
      <c r="C28" s="257" t="s">
        <v>30</v>
      </c>
      <c r="D28" s="341">
        <f t="shared" si="0"/>
        <v>3882037</v>
      </c>
      <c r="E28" s="341">
        <f>+'4.1. Samtryggingard.'!AF64</f>
        <v>3882037</v>
      </c>
      <c r="F28" s="244"/>
      <c r="G28" s="244"/>
      <c r="H28" s="244"/>
      <c r="I28" s="244"/>
      <c r="J28" s="244"/>
    </row>
    <row r="29" spans="1:10" ht="14.25" customHeight="1">
      <c r="A29" s="246">
        <v>25</v>
      </c>
      <c r="B29" s="246"/>
      <c r="C29" s="257" t="s">
        <v>421</v>
      </c>
      <c r="D29" s="341">
        <f t="shared" si="0"/>
        <v>3814144</v>
      </c>
      <c r="E29" s="341">
        <f>+'4.1. Samtryggingard.'!AG64+'4.1. Samtryggingard.'!AH64</f>
        <v>3814144</v>
      </c>
      <c r="F29" s="244"/>
      <c r="G29" s="244"/>
      <c r="H29" s="244"/>
      <c r="I29" s="244"/>
      <c r="J29" s="244"/>
    </row>
    <row r="30" spans="1:10" ht="14.25" customHeight="1">
      <c r="A30" s="246">
        <v>26</v>
      </c>
      <c r="B30" s="246"/>
      <c r="C30" s="257" t="s">
        <v>164</v>
      </c>
      <c r="D30" s="341">
        <f t="shared" si="0"/>
        <v>2886162</v>
      </c>
      <c r="E30" s="341">
        <f>+'4.1. Samtryggingard.'!AI64</f>
        <v>2886162</v>
      </c>
      <c r="F30" s="244"/>
      <c r="G30" s="244"/>
      <c r="H30" s="244"/>
      <c r="I30" s="244"/>
      <c r="J30" s="244"/>
    </row>
    <row r="31" spans="1:10" ht="14.25" customHeight="1">
      <c r="A31" s="246">
        <v>27</v>
      </c>
      <c r="B31" s="246"/>
      <c r="C31" s="257" t="s">
        <v>175</v>
      </c>
      <c r="D31" s="341">
        <f t="shared" si="0"/>
        <v>2542032</v>
      </c>
      <c r="E31" s="341"/>
      <c r="F31" s="244"/>
      <c r="G31" s="244">
        <f>+'4.1. Samtryggingard.'!AJ64</f>
        <v>322973</v>
      </c>
      <c r="H31" s="244"/>
      <c r="I31" s="244"/>
      <c r="J31" s="244">
        <f>+'5.1. Séreignard.'!AT65</f>
        <v>2219059</v>
      </c>
    </row>
    <row r="32" spans="1:10" ht="14.25" customHeight="1">
      <c r="A32" s="246">
        <v>28</v>
      </c>
      <c r="B32" s="246"/>
      <c r="C32" s="257" t="s">
        <v>171</v>
      </c>
      <c r="D32" s="341">
        <f t="shared" si="0"/>
        <v>2392116</v>
      </c>
      <c r="E32" s="341"/>
      <c r="F32" s="244">
        <f>+'4.1. Samtryggingard.'!AK64</f>
        <v>2392116</v>
      </c>
      <c r="G32" s="244"/>
      <c r="H32" s="244"/>
      <c r="I32" s="244"/>
      <c r="J32" s="244"/>
    </row>
    <row r="33" spans="1:10" ht="14.25" customHeight="1">
      <c r="A33" s="246">
        <v>29</v>
      </c>
      <c r="B33" s="246"/>
      <c r="C33" s="257" t="s">
        <v>168</v>
      </c>
      <c r="D33" s="341">
        <f t="shared" si="0"/>
        <v>2378238</v>
      </c>
      <c r="E33" s="341"/>
      <c r="F33" s="244">
        <f>+'4.1. Samtryggingard.'!AL64</f>
        <v>2378238</v>
      </c>
      <c r="G33" s="244"/>
      <c r="H33" s="244"/>
      <c r="I33" s="244"/>
      <c r="J33" s="244"/>
    </row>
    <row r="34" spans="1:10" ht="14.25" customHeight="1">
      <c r="A34" s="246">
        <v>30</v>
      </c>
      <c r="B34" s="246"/>
      <c r="C34" s="257" t="s">
        <v>160</v>
      </c>
      <c r="D34" s="341">
        <f t="shared" si="0"/>
        <v>2186980</v>
      </c>
      <c r="E34" s="341"/>
      <c r="F34" s="244">
        <f>+'4.1. Samtryggingard.'!AM64</f>
        <v>2186980</v>
      </c>
      <c r="G34" s="244"/>
      <c r="H34" s="244"/>
      <c r="I34" s="244"/>
      <c r="J34" s="244"/>
    </row>
    <row r="35" spans="1:10" ht="14.25" customHeight="1">
      <c r="A35" s="246">
        <v>31</v>
      </c>
      <c r="B35" s="246"/>
      <c r="C35" s="257" t="s">
        <v>454</v>
      </c>
      <c r="D35" s="341">
        <f t="shared" si="0"/>
        <v>1766300</v>
      </c>
      <c r="E35" s="341">
        <f>+'4.1. Samtryggingard.'!AN64</f>
        <v>1766300</v>
      </c>
      <c r="F35" s="244"/>
      <c r="G35" s="244"/>
      <c r="H35" s="244"/>
      <c r="I35" s="244"/>
      <c r="J35" s="244"/>
    </row>
    <row r="36" spans="1:10" ht="14.25" customHeight="1">
      <c r="A36" s="246">
        <v>32</v>
      </c>
      <c r="B36" s="246"/>
      <c r="C36" s="257" t="s">
        <v>441</v>
      </c>
      <c r="D36" s="341">
        <f t="shared" si="0"/>
        <v>1124824</v>
      </c>
      <c r="E36" s="341"/>
      <c r="F36" s="244">
        <f>+'4.1. Samtryggingard.'!AO64</f>
        <v>1124824</v>
      </c>
      <c r="G36" s="244"/>
      <c r="H36" s="244"/>
      <c r="I36" s="244"/>
      <c r="J36" s="244"/>
    </row>
    <row r="37" spans="1:10" ht="14.25" customHeight="1">
      <c r="A37" s="246">
        <v>33</v>
      </c>
      <c r="B37" s="246"/>
      <c r="C37" s="257" t="s">
        <v>455</v>
      </c>
      <c r="D37" s="341">
        <f t="shared" si="0"/>
        <v>800865</v>
      </c>
      <c r="E37" s="341"/>
      <c r="F37" s="244">
        <f>+'4.1. Samtryggingard.'!AP64</f>
        <v>800865</v>
      </c>
      <c r="G37" s="244"/>
      <c r="H37" s="244"/>
      <c r="I37" s="244"/>
      <c r="J37" s="244"/>
    </row>
    <row r="38" spans="1:10" ht="14.25" customHeight="1">
      <c r="A38" s="246">
        <v>34</v>
      </c>
      <c r="B38" s="246"/>
      <c r="C38" s="257" t="s">
        <v>449</v>
      </c>
      <c r="D38" s="341">
        <f t="shared" si="0"/>
        <v>777183</v>
      </c>
      <c r="E38" s="341">
        <f>+'4.1. Samtryggingard.'!AQ64</f>
        <v>777183</v>
      </c>
      <c r="F38" s="244"/>
      <c r="G38" s="244"/>
      <c r="H38" s="244"/>
      <c r="I38" s="244"/>
      <c r="J38" s="244"/>
    </row>
    <row r="39" spans="1:10" ht="14.25" customHeight="1">
      <c r="A39" s="246">
        <v>35</v>
      </c>
      <c r="B39" s="246"/>
      <c r="C39" s="257" t="s">
        <v>5</v>
      </c>
      <c r="D39" s="341">
        <f t="shared" si="0"/>
        <v>693277</v>
      </c>
      <c r="E39" s="341">
        <f>+'4.1. Samtryggingard.'!AR64</f>
        <v>693277</v>
      </c>
      <c r="F39" s="244"/>
      <c r="G39" s="244"/>
      <c r="H39" s="244"/>
      <c r="I39" s="244"/>
      <c r="J39" s="244"/>
    </row>
    <row r="40" spans="1:10" ht="14.25" customHeight="1">
      <c r="A40" s="246">
        <v>36</v>
      </c>
      <c r="B40" s="246"/>
      <c r="C40" s="257" t="s">
        <v>167</v>
      </c>
      <c r="D40" s="341">
        <f t="shared" si="0"/>
        <v>537615</v>
      </c>
      <c r="E40" s="341">
        <f>+'4.1. Samtryggingard.'!AS64</f>
        <v>537615</v>
      </c>
      <c r="F40" s="244"/>
      <c r="G40" s="244"/>
      <c r="H40" s="244"/>
      <c r="I40" s="244"/>
      <c r="J40" s="244"/>
    </row>
    <row r="41" spans="1:10" ht="14.25" customHeight="1">
      <c r="A41" s="246">
        <v>37</v>
      </c>
      <c r="B41" s="246"/>
      <c r="C41" s="257" t="s">
        <v>442</v>
      </c>
      <c r="D41" s="341">
        <f t="shared" si="0"/>
        <v>470205</v>
      </c>
      <c r="E41" s="341">
        <f>+'4.1. Samtryggingard.'!AT64</f>
        <v>470205</v>
      </c>
      <c r="F41" s="244"/>
      <c r="G41" s="244"/>
      <c r="H41" s="244"/>
      <c r="I41" s="244"/>
      <c r="J41" s="244"/>
    </row>
    <row r="42" spans="1:10" ht="14.25" customHeight="1">
      <c r="A42" s="246">
        <v>38</v>
      </c>
      <c r="B42" s="246"/>
      <c r="C42" s="257" t="s">
        <v>169</v>
      </c>
      <c r="D42" s="341">
        <f t="shared" si="0"/>
        <v>451429</v>
      </c>
      <c r="E42" s="341"/>
      <c r="F42" s="244">
        <f>+'4.1. Samtryggingard.'!AU64</f>
        <v>451429</v>
      </c>
      <c r="G42" s="244"/>
      <c r="H42" s="244"/>
      <c r="I42" s="244"/>
      <c r="J42" s="244"/>
    </row>
    <row r="43" spans="1:10" ht="14.25" customHeight="1">
      <c r="A43" s="246">
        <v>39</v>
      </c>
      <c r="B43" s="246"/>
      <c r="C43" s="257" t="s">
        <v>443</v>
      </c>
      <c r="D43" s="341">
        <f t="shared" si="0"/>
        <v>443865</v>
      </c>
      <c r="E43" s="341"/>
      <c r="F43" s="244">
        <f>+'4.1. Samtryggingard.'!AV64</f>
        <v>443865</v>
      </c>
      <c r="G43" s="244"/>
      <c r="H43" s="244"/>
      <c r="I43" s="244"/>
      <c r="J43" s="244"/>
    </row>
    <row r="44" spans="1:10" ht="14.25" customHeight="1">
      <c r="A44" s="246">
        <v>40</v>
      </c>
      <c r="B44" s="246"/>
      <c r="C44" s="257" t="s">
        <v>174</v>
      </c>
      <c r="D44" s="341">
        <f t="shared" si="0"/>
        <v>64523</v>
      </c>
      <c r="E44" s="341"/>
      <c r="F44" s="244">
        <f>+'4.1. Samtryggingard.'!AW64</f>
        <v>64523</v>
      </c>
      <c r="G44" s="244"/>
      <c r="H44" s="244"/>
      <c r="I44" s="244"/>
      <c r="J44" s="244"/>
    </row>
    <row r="45" spans="1:10" ht="14.25" customHeight="1">
      <c r="A45" s="246">
        <v>41</v>
      </c>
      <c r="B45" s="246"/>
      <c r="C45" s="257" t="s">
        <v>451</v>
      </c>
      <c r="D45" s="341">
        <f t="shared" si="0"/>
        <v>27471</v>
      </c>
      <c r="E45" s="341"/>
      <c r="F45" s="244">
        <f>+'4.1. Samtryggingard.'!AX64</f>
        <v>27471</v>
      </c>
      <c r="G45" s="244"/>
      <c r="H45" s="244"/>
      <c r="I45" s="244"/>
      <c r="J45" s="244"/>
    </row>
    <row r="46" spans="1:10" ht="15" customHeight="1" thickBot="1">
      <c r="A46" s="249"/>
      <c r="B46" s="251"/>
      <c r="C46" s="252" t="s">
        <v>444</v>
      </c>
      <c r="D46" s="343">
        <f aca="true" t="shared" si="1" ref="D46:J46">SUM(D5:D45)</f>
        <v>1498809930</v>
      </c>
      <c r="E46" s="343">
        <f t="shared" si="1"/>
        <v>229196527</v>
      </c>
      <c r="F46" s="343">
        <f t="shared" si="1"/>
        <v>274267235</v>
      </c>
      <c r="G46" s="343">
        <f t="shared" si="1"/>
        <v>120173299</v>
      </c>
      <c r="H46" s="343">
        <f t="shared" si="1"/>
        <v>733276435</v>
      </c>
      <c r="I46" s="343"/>
      <c r="J46" s="343">
        <f t="shared" si="1"/>
        <v>141896434</v>
      </c>
    </row>
    <row r="47" spans="1:10" ht="15" customHeight="1" thickTop="1">
      <c r="A47" s="278"/>
      <c r="B47" s="327"/>
      <c r="C47" s="328"/>
      <c r="D47" s="12"/>
      <c r="E47" s="12"/>
      <c r="F47" s="12"/>
      <c r="G47" s="12"/>
      <c r="H47" s="12"/>
      <c r="I47" s="12"/>
      <c r="J47" s="12"/>
    </row>
    <row r="48" spans="1:10" ht="15" customHeight="1">
      <c r="A48" s="278"/>
      <c r="B48" s="327"/>
      <c r="C48" s="328"/>
      <c r="D48" s="12"/>
      <c r="E48" s="12"/>
      <c r="F48" s="12"/>
      <c r="G48" s="12"/>
      <c r="H48" s="12"/>
      <c r="I48" s="12"/>
      <c r="J48" s="12"/>
    </row>
    <row r="49" spans="1:10" ht="15" customHeight="1">
      <c r="A49" s="278"/>
      <c r="B49" s="327"/>
      <c r="C49" s="328"/>
      <c r="D49" s="12"/>
      <c r="E49" s="12"/>
      <c r="F49" s="12"/>
      <c r="G49" s="12"/>
      <c r="H49" s="12"/>
      <c r="I49" s="12"/>
      <c r="J49" s="12"/>
    </row>
    <row r="50" spans="1:10" ht="15" customHeight="1">
      <c r="A50" s="278"/>
      <c r="B50" s="327"/>
      <c r="C50" s="328"/>
      <c r="D50" s="12"/>
      <c r="E50" s="12"/>
      <c r="F50" s="12"/>
      <c r="G50" s="12"/>
      <c r="H50" s="12"/>
      <c r="I50" s="12"/>
      <c r="J50" s="12"/>
    </row>
    <row r="51" spans="1:3" ht="12" customHeight="1">
      <c r="A51" s="329"/>
      <c r="B51" s="329"/>
      <c r="C51" s="329"/>
    </row>
    <row r="52" spans="1:9" ht="12.75">
      <c r="A52" s="253" t="s">
        <v>445</v>
      </c>
      <c r="G52" s="12"/>
      <c r="H52" s="12"/>
      <c r="I52" s="12"/>
    </row>
    <row r="53" spans="1:9" ht="12.75">
      <c r="A53" s="253" t="s">
        <v>446</v>
      </c>
      <c r="G53" s="12"/>
      <c r="H53" s="12"/>
      <c r="I53" s="12"/>
    </row>
    <row r="54" spans="1:10" ht="12.75">
      <c r="A54" s="253" t="s">
        <v>447</v>
      </c>
      <c r="G54" s="39"/>
      <c r="H54" s="39"/>
      <c r="I54" s="39"/>
      <c r="J54" s="39"/>
    </row>
    <row r="55" spans="1:10" ht="12.75">
      <c r="A55" s="253" t="s">
        <v>448</v>
      </c>
      <c r="B55" s="39"/>
      <c r="C55" s="39"/>
      <c r="D55" s="39"/>
      <c r="E55" s="39"/>
      <c r="G55" s="12"/>
      <c r="H55" s="12"/>
      <c r="I55" s="12"/>
      <c r="J55" s="12"/>
    </row>
  </sheetData>
  <sheetProtection/>
  <mergeCells count="1">
    <mergeCell ref="E1:H1"/>
  </mergeCells>
  <printOptions/>
  <pageMargins left="0.4724409448818898" right="0" top="0.98425196850393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&amp;C&amp;"Times New Roman,Bold"&amp;12  2.3. YFIRLIT YFIR LÍFEYRISSJÓÐAKERFI</oddHeader>
    <oddFooter>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19"/>
  <sheetViews>
    <sheetView tabSelected="1" view="pageBreakPreview" zoomScaleSheetLayoutView="100" zoomScalePageLayoutView="0" workbookViewId="0" topLeftCell="A1">
      <pane xSplit="2" ySplit="4" topLeftCell="C2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59" sqref="C59"/>
    </sheetView>
  </sheetViews>
  <sheetFormatPr defaultColWidth="9.28125" defaultRowHeight="12.75" customHeight="1"/>
  <cols>
    <col min="1" max="1" width="22.7109375" style="11" customWidth="1"/>
    <col min="2" max="2" width="0.85546875" style="11" customWidth="1"/>
    <col min="3" max="16" width="9.28125" style="11" customWidth="1"/>
    <col min="17" max="17" width="9.7109375" style="11" customWidth="1"/>
    <col min="18" max="25" width="9.28125" style="11" customWidth="1"/>
    <col min="26" max="26" width="9.28125" style="52" customWidth="1"/>
    <col min="27" max="28" width="9.28125" style="11" customWidth="1"/>
    <col min="29" max="29" width="9.57421875" style="11" customWidth="1"/>
    <col min="30" max="31" width="9.28125" style="11" customWidth="1"/>
    <col min="32" max="32" width="10.57421875" style="11" customWidth="1"/>
    <col min="33" max="41" width="9.28125" style="11" customWidth="1"/>
    <col min="42" max="42" width="9.57421875" style="11" customWidth="1"/>
    <col min="43" max="43" width="9.28125" style="11" customWidth="1"/>
    <col min="44" max="44" width="8.7109375" style="11" customWidth="1"/>
    <col min="45" max="46" width="9.28125" style="11" customWidth="1"/>
    <col min="47" max="47" width="9.140625" style="11" customWidth="1"/>
    <col min="48" max="16384" width="9.28125" style="11" customWidth="1"/>
  </cols>
  <sheetData>
    <row r="1" spans="2:45" s="37" customFormat="1" ht="12.75" customHeight="1">
      <c r="B1" s="13"/>
      <c r="C1" s="359" t="s">
        <v>425</v>
      </c>
      <c r="D1" s="359" t="s">
        <v>176</v>
      </c>
      <c r="E1" s="359" t="s">
        <v>25</v>
      </c>
      <c r="F1" s="359" t="s">
        <v>408</v>
      </c>
      <c r="G1" s="359" t="s">
        <v>409</v>
      </c>
      <c r="H1" s="359" t="s">
        <v>33</v>
      </c>
      <c r="I1" s="359" t="s">
        <v>235</v>
      </c>
      <c r="J1" s="360" t="s">
        <v>29</v>
      </c>
      <c r="K1" s="359" t="s">
        <v>2</v>
      </c>
      <c r="L1" s="359" t="s">
        <v>24</v>
      </c>
      <c r="M1" s="359" t="s">
        <v>3</v>
      </c>
      <c r="N1" s="359" t="s">
        <v>27</v>
      </c>
      <c r="O1" s="359" t="s">
        <v>426</v>
      </c>
      <c r="P1" s="359" t="s">
        <v>32</v>
      </c>
      <c r="Q1" s="359" t="s">
        <v>487</v>
      </c>
      <c r="R1" s="359" t="s">
        <v>410</v>
      </c>
      <c r="S1" s="359" t="s">
        <v>165</v>
      </c>
      <c r="T1" s="359" t="s">
        <v>244</v>
      </c>
      <c r="U1" s="359" t="s">
        <v>28</v>
      </c>
      <c r="V1" s="359" t="s">
        <v>159</v>
      </c>
      <c r="W1" s="359" t="s">
        <v>172</v>
      </c>
      <c r="X1" s="359" t="s">
        <v>424</v>
      </c>
      <c r="Y1" s="359" t="s">
        <v>419</v>
      </c>
      <c r="Z1" s="359" t="s">
        <v>30</v>
      </c>
      <c r="AA1" s="359" t="s">
        <v>421</v>
      </c>
      <c r="AB1" s="359" t="s">
        <v>164</v>
      </c>
      <c r="AC1" s="359" t="s">
        <v>175</v>
      </c>
      <c r="AD1" s="359" t="s">
        <v>171</v>
      </c>
      <c r="AE1" s="359" t="s">
        <v>168</v>
      </c>
      <c r="AF1" s="359" t="s">
        <v>160</v>
      </c>
      <c r="AG1" s="359" t="s">
        <v>422</v>
      </c>
      <c r="AH1" s="359" t="s">
        <v>163</v>
      </c>
      <c r="AI1" s="359" t="s">
        <v>4</v>
      </c>
      <c r="AJ1" s="359" t="s">
        <v>161</v>
      </c>
      <c r="AK1" s="359" t="s">
        <v>5</v>
      </c>
      <c r="AL1" s="359" t="s">
        <v>423</v>
      </c>
      <c r="AM1" s="359" t="s">
        <v>6</v>
      </c>
      <c r="AN1" s="359" t="s">
        <v>169</v>
      </c>
      <c r="AO1" s="359" t="s">
        <v>240</v>
      </c>
      <c r="AP1" s="359" t="s">
        <v>174</v>
      </c>
      <c r="AQ1" s="359" t="s">
        <v>420</v>
      </c>
      <c r="AR1" s="245"/>
      <c r="AS1" s="359" t="s">
        <v>427</v>
      </c>
    </row>
    <row r="2" spans="1:45" s="37" customFormat="1" ht="12.75" customHeight="1">
      <c r="A2" s="13"/>
      <c r="B2" s="13"/>
      <c r="C2" s="359"/>
      <c r="D2" s="359"/>
      <c r="E2" s="359"/>
      <c r="F2" s="359"/>
      <c r="G2" s="359"/>
      <c r="H2" s="359"/>
      <c r="I2" s="359"/>
      <c r="J2" s="360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245"/>
      <c r="AS2" s="359"/>
    </row>
    <row r="3" spans="1:45" s="37" customFormat="1" ht="12" customHeight="1">
      <c r="A3" s="6" t="s">
        <v>8</v>
      </c>
      <c r="B3" s="13"/>
      <c r="C3" s="359"/>
      <c r="D3" s="359"/>
      <c r="E3" s="359"/>
      <c r="F3" s="359"/>
      <c r="G3" s="359"/>
      <c r="H3" s="359"/>
      <c r="I3" s="359"/>
      <c r="J3" s="360" t="s">
        <v>38</v>
      </c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245"/>
      <c r="AS3" s="359"/>
    </row>
    <row r="4" spans="1:45" s="37" customFormat="1" ht="12" customHeight="1">
      <c r="A4" s="13"/>
      <c r="B4" s="13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R4" s="245"/>
      <c r="AS4" s="245"/>
    </row>
    <row r="5" spans="1:44" ht="12.75" customHeight="1">
      <c r="A5" s="4" t="s">
        <v>42</v>
      </c>
      <c r="B5" s="4"/>
      <c r="C5" s="122"/>
      <c r="D5" s="122"/>
      <c r="E5" s="122"/>
      <c r="F5" s="122"/>
      <c r="G5" s="4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1:45" ht="12.75" customHeight="1">
      <c r="A6" s="6" t="s">
        <v>43</v>
      </c>
      <c r="B6" s="6"/>
      <c r="C6" s="122">
        <v>4113557</v>
      </c>
      <c r="D6" s="122">
        <v>4712130</v>
      </c>
      <c r="E6" s="124">
        <v>2854758</v>
      </c>
      <c r="F6" s="124">
        <v>1726230</v>
      </c>
      <c r="G6" s="28">
        <v>2572791</v>
      </c>
      <c r="H6" s="124">
        <v>1224446</v>
      </c>
      <c r="I6" s="124">
        <v>1900678</v>
      </c>
      <c r="J6" s="122">
        <v>882552</v>
      </c>
      <c r="K6" s="124">
        <v>828014</v>
      </c>
      <c r="L6" s="124">
        <v>1004506</v>
      </c>
      <c r="M6" s="122">
        <v>499855</v>
      </c>
      <c r="N6" s="122">
        <v>825970</v>
      </c>
      <c r="O6" s="122">
        <v>771227</v>
      </c>
      <c r="P6" s="122">
        <v>265809</v>
      </c>
      <c r="Q6" s="122">
        <v>1019770</v>
      </c>
      <c r="R6" s="124">
        <v>1893213</v>
      </c>
      <c r="S6" s="122">
        <v>85735</v>
      </c>
      <c r="T6" s="122">
        <v>220773</v>
      </c>
      <c r="U6" s="122">
        <v>148280</v>
      </c>
      <c r="V6" s="122">
        <v>162899</v>
      </c>
      <c r="W6" s="122">
        <v>135626</v>
      </c>
      <c r="X6" s="122">
        <v>20151</v>
      </c>
      <c r="Y6" s="122">
        <v>1957</v>
      </c>
      <c r="Z6" s="122">
        <v>59911</v>
      </c>
      <c r="AA6" s="122">
        <v>0</v>
      </c>
      <c r="AB6" s="124">
        <v>0</v>
      </c>
      <c r="AC6" s="122">
        <v>42088</v>
      </c>
      <c r="AD6" s="122">
        <v>22249</v>
      </c>
      <c r="AE6" s="122">
        <v>22142</v>
      </c>
      <c r="AF6" s="122">
        <v>22664</v>
      </c>
      <c r="AG6" s="124">
        <v>0</v>
      </c>
      <c r="AH6" s="122">
        <v>7005</v>
      </c>
      <c r="AI6" s="122">
        <v>16160</v>
      </c>
      <c r="AJ6" s="122">
        <v>-420</v>
      </c>
      <c r="AK6" s="124">
        <v>0</v>
      </c>
      <c r="AL6" s="124">
        <v>0</v>
      </c>
      <c r="AM6" s="124">
        <v>0</v>
      </c>
      <c r="AN6" s="122">
        <v>2438</v>
      </c>
      <c r="AO6" s="122">
        <v>2094</v>
      </c>
      <c r="AP6" s="122">
        <v>5352</v>
      </c>
      <c r="AQ6" s="124">
        <v>0</v>
      </c>
      <c r="AR6" s="124"/>
      <c r="AS6" s="11">
        <f>SUM(C6:AQ6)</f>
        <v>28072610</v>
      </c>
    </row>
    <row r="7" spans="1:45" ht="12.75" customHeight="1">
      <c r="A7" s="6" t="s">
        <v>44</v>
      </c>
      <c r="B7" s="6"/>
      <c r="C7" s="122">
        <v>9705830</v>
      </c>
      <c r="D7" s="122">
        <v>8091588</v>
      </c>
      <c r="E7" s="124">
        <v>5127683</v>
      </c>
      <c r="F7" s="124">
        <v>2672821</v>
      </c>
      <c r="G7" s="28">
        <v>3825821</v>
      </c>
      <c r="H7" s="124">
        <v>2183179</v>
      </c>
      <c r="I7" s="124">
        <v>3041026</v>
      </c>
      <c r="J7" s="122">
        <v>1571740</v>
      </c>
      <c r="K7" s="124">
        <v>1322179</v>
      </c>
      <c r="L7" s="124">
        <v>1819751</v>
      </c>
      <c r="M7" s="122">
        <v>909368</v>
      </c>
      <c r="N7" s="122">
        <v>1480778</v>
      </c>
      <c r="O7" s="122">
        <v>1200925</v>
      </c>
      <c r="P7" s="122">
        <v>451180</v>
      </c>
      <c r="Q7" s="122">
        <v>2674249</v>
      </c>
      <c r="R7" s="124">
        <v>2000134</v>
      </c>
      <c r="S7" s="122">
        <v>148441</v>
      </c>
      <c r="T7" s="122">
        <v>383040</v>
      </c>
      <c r="U7" s="122">
        <v>286090</v>
      </c>
      <c r="V7" s="122">
        <v>651421</v>
      </c>
      <c r="W7" s="122">
        <v>367228</v>
      </c>
      <c r="X7" s="122">
        <v>73570</v>
      </c>
      <c r="Y7" s="122">
        <v>485288</v>
      </c>
      <c r="Z7" s="122">
        <v>111709</v>
      </c>
      <c r="AA7" s="122">
        <v>0</v>
      </c>
      <c r="AB7" s="124">
        <v>0</v>
      </c>
      <c r="AC7" s="122">
        <v>61205</v>
      </c>
      <c r="AD7" s="122">
        <v>33349</v>
      </c>
      <c r="AE7" s="122">
        <v>135631</v>
      </c>
      <c r="AF7" s="122">
        <v>52091</v>
      </c>
      <c r="AG7" s="124">
        <v>0</v>
      </c>
      <c r="AH7" s="122">
        <v>10507</v>
      </c>
      <c r="AI7" s="122">
        <v>24240</v>
      </c>
      <c r="AJ7" s="124">
        <v>0</v>
      </c>
      <c r="AK7" s="124">
        <v>0</v>
      </c>
      <c r="AL7" s="124">
        <v>0</v>
      </c>
      <c r="AM7" s="124">
        <v>0</v>
      </c>
      <c r="AN7" s="122">
        <v>3921</v>
      </c>
      <c r="AO7" s="122">
        <v>3141</v>
      </c>
      <c r="AP7" s="122">
        <v>8029</v>
      </c>
      <c r="AQ7" s="124">
        <v>0</v>
      </c>
      <c r="AR7" s="124"/>
      <c r="AS7" s="11">
        <f>SUM(C7:AQ7)</f>
        <v>50917153</v>
      </c>
    </row>
    <row r="8" spans="1:45" ht="12.75" customHeight="1">
      <c r="A8" s="6" t="s">
        <v>45</v>
      </c>
      <c r="B8" s="6"/>
      <c r="C8" s="122">
        <v>-72618</v>
      </c>
      <c r="D8" s="122">
        <v>0</v>
      </c>
      <c r="E8" s="124">
        <v>-7356</v>
      </c>
      <c r="F8" s="124">
        <v>-7155</v>
      </c>
      <c r="G8" s="28">
        <v>1017331</v>
      </c>
      <c r="H8" s="124">
        <v>-46565</v>
      </c>
      <c r="I8" s="124">
        <v>-670495</v>
      </c>
      <c r="J8" s="122">
        <v>-21856</v>
      </c>
      <c r="K8" s="124">
        <v>-34572</v>
      </c>
      <c r="L8" s="124">
        <v>-10045</v>
      </c>
      <c r="M8" s="122">
        <v>-3093</v>
      </c>
      <c r="N8" s="122">
        <v>-49885</v>
      </c>
      <c r="O8" s="122">
        <v>-3432</v>
      </c>
      <c r="P8" s="122">
        <v>-388</v>
      </c>
      <c r="Q8" s="122">
        <v>-38704</v>
      </c>
      <c r="R8" s="124">
        <v>834689</v>
      </c>
      <c r="S8" s="122">
        <v>-114</v>
      </c>
      <c r="T8" s="122">
        <v>-2935</v>
      </c>
      <c r="U8" s="122">
        <v>2851</v>
      </c>
      <c r="V8" s="124">
        <v>0</v>
      </c>
      <c r="W8" s="122">
        <v>-3854</v>
      </c>
      <c r="X8" s="124">
        <v>0</v>
      </c>
      <c r="Y8" s="122">
        <v>-52216</v>
      </c>
      <c r="Z8" s="122">
        <v>-9265</v>
      </c>
      <c r="AA8" s="122">
        <v>-360</v>
      </c>
      <c r="AB8" s="124">
        <v>0</v>
      </c>
      <c r="AC8" s="122">
        <v>1934</v>
      </c>
      <c r="AD8" s="122">
        <v>266</v>
      </c>
      <c r="AE8" s="122">
        <v>-506</v>
      </c>
      <c r="AF8" s="124">
        <v>0</v>
      </c>
      <c r="AG8" s="122">
        <v>-321</v>
      </c>
      <c r="AH8" s="122">
        <v>-413</v>
      </c>
      <c r="AI8" s="124">
        <v>0</v>
      </c>
      <c r="AJ8" s="124">
        <v>0</v>
      </c>
      <c r="AK8" s="122">
        <v>339</v>
      </c>
      <c r="AL8" s="122">
        <v>-186</v>
      </c>
      <c r="AM8" s="122">
        <v>-1</v>
      </c>
      <c r="AN8" s="124">
        <v>0</v>
      </c>
      <c r="AO8" s="124">
        <v>0</v>
      </c>
      <c r="AP8" s="122">
        <v>1174</v>
      </c>
      <c r="AQ8" s="124">
        <v>0</v>
      </c>
      <c r="AR8" s="124"/>
      <c r="AS8" s="11">
        <f>SUM(C8:AQ8)</f>
        <v>822249</v>
      </c>
    </row>
    <row r="9" spans="1:45" ht="12.75" customHeight="1">
      <c r="A9" s="6" t="s">
        <v>46</v>
      </c>
      <c r="B9" s="6"/>
      <c r="C9" s="122">
        <v>11700699</v>
      </c>
      <c r="D9" s="122">
        <v>0</v>
      </c>
      <c r="E9" s="124">
        <v>0</v>
      </c>
      <c r="F9" s="124">
        <v>0</v>
      </c>
      <c r="G9" s="28">
        <v>0</v>
      </c>
      <c r="H9" s="124">
        <v>0</v>
      </c>
      <c r="I9" s="124">
        <v>34432</v>
      </c>
      <c r="J9" s="122">
        <v>0</v>
      </c>
      <c r="K9" s="124">
        <v>0</v>
      </c>
      <c r="L9" s="124">
        <v>0</v>
      </c>
      <c r="M9" s="122">
        <v>1407516</v>
      </c>
      <c r="N9" s="122">
        <v>0</v>
      </c>
      <c r="O9" s="122">
        <v>0</v>
      </c>
      <c r="P9" s="122">
        <v>0</v>
      </c>
      <c r="Q9" s="122">
        <v>-7219</v>
      </c>
      <c r="R9" s="124">
        <v>0</v>
      </c>
      <c r="S9" s="122">
        <v>843753</v>
      </c>
      <c r="T9" s="122">
        <v>0</v>
      </c>
      <c r="U9" s="122">
        <v>0</v>
      </c>
      <c r="V9" s="124">
        <v>0</v>
      </c>
      <c r="W9" s="122">
        <v>1668165</v>
      </c>
      <c r="X9" s="124">
        <v>0</v>
      </c>
      <c r="Y9" s="124">
        <v>0</v>
      </c>
      <c r="Z9" s="124">
        <v>0</v>
      </c>
      <c r="AA9" s="122">
        <v>11699</v>
      </c>
      <c r="AB9" s="124">
        <v>0</v>
      </c>
      <c r="AC9" s="122">
        <v>0</v>
      </c>
      <c r="AD9" s="122">
        <v>85196</v>
      </c>
      <c r="AE9" s="124">
        <v>0</v>
      </c>
      <c r="AF9" s="124">
        <v>0</v>
      </c>
      <c r="AG9" s="122">
        <v>20682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2">
        <v>34417</v>
      </c>
      <c r="AO9" s="122">
        <v>259262</v>
      </c>
      <c r="AP9" s="122">
        <v>63325</v>
      </c>
      <c r="AQ9" s="122">
        <v>128500</v>
      </c>
      <c r="AR9" s="124"/>
      <c r="AS9" s="11">
        <f>SUM(C9:AQ9)</f>
        <v>16250427</v>
      </c>
    </row>
    <row r="10" spans="1:45" ht="12.75" customHeight="1">
      <c r="A10" s="19" t="s">
        <v>412</v>
      </c>
      <c r="B10" s="12"/>
      <c r="C10" s="28">
        <f aca="true" t="shared" si="0" ref="C10:AQ10">SUM(C6:C9)</f>
        <v>25447468</v>
      </c>
      <c r="D10" s="28">
        <f t="shared" si="0"/>
        <v>12803718</v>
      </c>
      <c r="E10" s="28">
        <f t="shared" si="0"/>
        <v>7975085</v>
      </c>
      <c r="F10" s="28">
        <f t="shared" si="0"/>
        <v>4391896</v>
      </c>
      <c r="G10" s="28">
        <f t="shared" si="0"/>
        <v>7415943</v>
      </c>
      <c r="H10" s="28">
        <f t="shared" si="0"/>
        <v>3361060</v>
      </c>
      <c r="I10" s="28">
        <f t="shared" si="0"/>
        <v>4305641</v>
      </c>
      <c r="J10" s="28">
        <f t="shared" si="0"/>
        <v>2432436</v>
      </c>
      <c r="K10" s="28">
        <f t="shared" si="0"/>
        <v>2115621</v>
      </c>
      <c r="L10" s="28">
        <f t="shared" si="0"/>
        <v>2814212</v>
      </c>
      <c r="M10" s="28">
        <f t="shared" si="0"/>
        <v>2813646</v>
      </c>
      <c r="N10" s="28">
        <f t="shared" si="0"/>
        <v>2256863</v>
      </c>
      <c r="O10" s="28">
        <f t="shared" si="0"/>
        <v>1968720</v>
      </c>
      <c r="P10" s="28">
        <f t="shared" si="0"/>
        <v>716601</v>
      </c>
      <c r="Q10" s="28">
        <f t="shared" si="0"/>
        <v>3648096</v>
      </c>
      <c r="R10" s="28">
        <f t="shared" si="0"/>
        <v>4728036</v>
      </c>
      <c r="S10" s="28">
        <f t="shared" si="0"/>
        <v>1077815</v>
      </c>
      <c r="T10" s="28">
        <f t="shared" si="0"/>
        <v>600878</v>
      </c>
      <c r="U10" s="28">
        <f t="shared" si="0"/>
        <v>437221</v>
      </c>
      <c r="V10" s="28">
        <f t="shared" si="0"/>
        <v>814320</v>
      </c>
      <c r="W10" s="28">
        <f t="shared" si="0"/>
        <v>2167165</v>
      </c>
      <c r="X10" s="28">
        <f t="shared" si="0"/>
        <v>93721</v>
      </c>
      <c r="Y10" s="28">
        <f t="shared" si="0"/>
        <v>435029</v>
      </c>
      <c r="Z10" s="28">
        <f t="shared" si="0"/>
        <v>162355</v>
      </c>
      <c r="AA10" s="28">
        <f t="shared" si="0"/>
        <v>11339</v>
      </c>
      <c r="AB10" s="28">
        <f t="shared" si="0"/>
        <v>0</v>
      </c>
      <c r="AC10" s="28">
        <f t="shared" si="0"/>
        <v>105227</v>
      </c>
      <c r="AD10" s="28">
        <f t="shared" si="0"/>
        <v>141060</v>
      </c>
      <c r="AE10" s="28">
        <f t="shared" si="0"/>
        <v>157267</v>
      </c>
      <c r="AF10" s="28">
        <f t="shared" si="0"/>
        <v>74755</v>
      </c>
      <c r="AG10" s="28">
        <f t="shared" si="0"/>
        <v>20361</v>
      </c>
      <c r="AH10" s="28">
        <f t="shared" si="0"/>
        <v>17099</v>
      </c>
      <c r="AI10" s="28">
        <f t="shared" si="0"/>
        <v>40400</v>
      </c>
      <c r="AJ10" s="28">
        <f t="shared" si="0"/>
        <v>-420</v>
      </c>
      <c r="AK10" s="28">
        <f t="shared" si="0"/>
        <v>339</v>
      </c>
      <c r="AL10" s="28">
        <f t="shared" si="0"/>
        <v>-186</v>
      </c>
      <c r="AM10" s="28">
        <f t="shared" si="0"/>
        <v>-1</v>
      </c>
      <c r="AN10" s="28">
        <f t="shared" si="0"/>
        <v>40776</v>
      </c>
      <c r="AO10" s="28">
        <f t="shared" si="0"/>
        <v>264497</v>
      </c>
      <c r="AP10" s="28">
        <f t="shared" si="0"/>
        <v>77880</v>
      </c>
      <c r="AQ10" s="28">
        <f t="shared" si="0"/>
        <v>128500</v>
      </c>
      <c r="AR10" s="28"/>
      <c r="AS10" s="28">
        <f>SUM(AS6:AS9)</f>
        <v>96062439</v>
      </c>
    </row>
    <row r="11" spans="2:44" ht="12.75" customHeight="1">
      <c r="B11" s="19"/>
      <c r="C11" s="122"/>
      <c r="D11" s="122"/>
      <c r="E11" s="124"/>
      <c r="F11" s="124"/>
      <c r="G11" s="28"/>
      <c r="H11" s="124"/>
      <c r="I11" s="124"/>
      <c r="J11" s="122"/>
      <c r="K11" s="124"/>
      <c r="L11" s="124"/>
      <c r="M11" s="122"/>
      <c r="N11" s="122"/>
      <c r="O11" s="122"/>
      <c r="P11" s="122"/>
      <c r="Q11" s="122"/>
      <c r="R11" s="124"/>
      <c r="S11" s="122"/>
      <c r="T11" s="122"/>
      <c r="U11" s="122"/>
      <c r="V11" s="124"/>
      <c r="W11" s="122"/>
      <c r="X11" s="124"/>
      <c r="Y11" s="124"/>
      <c r="Z11" s="124"/>
      <c r="AA11" s="122"/>
      <c r="AB11" s="124"/>
      <c r="AC11" s="122"/>
      <c r="AD11" s="122"/>
      <c r="AE11" s="124"/>
      <c r="AF11" s="124"/>
      <c r="AG11" s="122"/>
      <c r="AH11" s="124"/>
      <c r="AI11" s="124"/>
      <c r="AJ11" s="124"/>
      <c r="AK11" s="124"/>
      <c r="AL11" s="124"/>
      <c r="AM11" s="124"/>
      <c r="AN11" s="122"/>
      <c r="AO11" s="122"/>
      <c r="AP11" s="122"/>
      <c r="AQ11" s="122"/>
      <c r="AR11" s="124"/>
    </row>
    <row r="12" spans="1:44" ht="12.75" customHeight="1">
      <c r="A12" s="4" t="s">
        <v>48</v>
      </c>
      <c r="B12" s="4"/>
      <c r="C12" s="122"/>
      <c r="D12" s="122"/>
      <c r="E12" s="124"/>
      <c r="F12" s="124"/>
      <c r="G12" s="28"/>
      <c r="H12" s="124"/>
      <c r="I12" s="124"/>
      <c r="J12" s="122"/>
      <c r="K12" s="124"/>
      <c r="L12" s="124"/>
      <c r="M12" s="122"/>
      <c r="N12" s="122"/>
      <c r="O12" s="122"/>
      <c r="P12" s="122"/>
      <c r="Q12" s="122"/>
      <c r="R12" s="124"/>
      <c r="S12" s="122"/>
      <c r="T12" s="122"/>
      <c r="U12" s="122"/>
      <c r="V12" s="124"/>
      <c r="W12" s="122"/>
      <c r="X12" s="124"/>
      <c r="Y12" s="124"/>
      <c r="Z12" s="124"/>
      <c r="AA12" s="122"/>
      <c r="AB12" s="124"/>
      <c r="AC12" s="122"/>
      <c r="AD12" s="122"/>
      <c r="AE12" s="124"/>
      <c r="AF12" s="124"/>
      <c r="AG12" s="122"/>
      <c r="AH12" s="124"/>
      <c r="AI12" s="124"/>
      <c r="AJ12" s="124"/>
      <c r="AK12" s="124"/>
      <c r="AL12" s="124"/>
      <c r="AM12" s="124"/>
      <c r="AN12" s="122"/>
      <c r="AO12" s="122"/>
      <c r="AP12" s="122"/>
      <c r="AQ12" s="122"/>
      <c r="AR12" s="124"/>
    </row>
    <row r="13" spans="1:45" ht="12.75" customHeight="1">
      <c r="A13" s="6" t="s">
        <v>49</v>
      </c>
      <c r="B13" s="6"/>
      <c r="C13" s="122">
        <v>14052562</v>
      </c>
      <c r="D13" s="122">
        <v>3498418</v>
      </c>
      <c r="E13" s="124">
        <v>4888989</v>
      </c>
      <c r="F13" s="124">
        <v>2103517</v>
      </c>
      <c r="G13" s="28">
        <v>1135743</v>
      </c>
      <c r="H13" s="124">
        <v>1456698</v>
      </c>
      <c r="I13" s="124">
        <v>798688</v>
      </c>
      <c r="J13" s="122">
        <v>1385055</v>
      </c>
      <c r="K13" s="124">
        <v>510721</v>
      </c>
      <c r="L13" s="124">
        <v>1176897</v>
      </c>
      <c r="M13" s="122">
        <v>906405</v>
      </c>
      <c r="N13" s="122">
        <v>543473</v>
      </c>
      <c r="O13" s="122">
        <v>225602</v>
      </c>
      <c r="P13" s="122">
        <v>522607</v>
      </c>
      <c r="Q13" s="122">
        <v>230292</v>
      </c>
      <c r="R13" s="124">
        <v>257982</v>
      </c>
      <c r="S13" s="122">
        <v>969830</v>
      </c>
      <c r="T13" s="122">
        <v>440137</v>
      </c>
      <c r="U13" s="122">
        <v>742521</v>
      </c>
      <c r="V13" s="122">
        <v>405141</v>
      </c>
      <c r="W13" s="122">
        <v>1737655</v>
      </c>
      <c r="X13" s="122">
        <v>368464</v>
      </c>
      <c r="Y13" s="122">
        <v>166680</v>
      </c>
      <c r="Z13" s="122">
        <v>88936</v>
      </c>
      <c r="AA13" s="122">
        <v>180100</v>
      </c>
      <c r="AB13" s="122">
        <v>117589</v>
      </c>
      <c r="AC13" s="122">
        <v>38299</v>
      </c>
      <c r="AD13" s="122">
        <v>154902</v>
      </c>
      <c r="AE13" s="122">
        <v>229833</v>
      </c>
      <c r="AF13" s="122">
        <v>89974</v>
      </c>
      <c r="AG13" s="122">
        <v>84576</v>
      </c>
      <c r="AH13" s="122">
        <v>142489</v>
      </c>
      <c r="AI13" s="122">
        <v>39633</v>
      </c>
      <c r="AJ13" s="122">
        <v>44039</v>
      </c>
      <c r="AK13" s="122">
        <v>39394</v>
      </c>
      <c r="AL13" s="122">
        <v>38984</v>
      </c>
      <c r="AM13" s="122">
        <v>41905</v>
      </c>
      <c r="AN13" s="122">
        <v>51369</v>
      </c>
      <c r="AO13" s="122">
        <v>55768</v>
      </c>
      <c r="AP13" s="122">
        <v>72411</v>
      </c>
      <c r="AQ13" s="122">
        <v>173722</v>
      </c>
      <c r="AR13" s="124"/>
      <c r="AS13" s="11">
        <f>SUM(C13:AQ13)</f>
        <v>40208000</v>
      </c>
    </row>
    <row r="14" spans="1:45" ht="12.75" customHeight="1">
      <c r="A14" s="6" t="s">
        <v>50</v>
      </c>
      <c r="B14" s="6"/>
      <c r="C14" s="122">
        <v>0</v>
      </c>
      <c r="D14" s="122">
        <v>-1829</v>
      </c>
      <c r="E14" s="124">
        <v>-25381</v>
      </c>
      <c r="F14" s="124">
        <v>-9361</v>
      </c>
      <c r="G14" s="28">
        <v>0</v>
      </c>
      <c r="H14" s="124">
        <v>-3852</v>
      </c>
      <c r="I14" s="124">
        <v>-382</v>
      </c>
      <c r="J14" s="122">
        <v>-10590</v>
      </c>
      <c r="K14" s="124">
        <v>0</v>
      </c>
      <c r="L14" s="124">
        <v>-10673</v>
      </c>
      <c r="M14" s="122">
        <v>0</v>
      </c>
      <c r="N14" s="122">
        <v>-3416</v>
      </c>
      <c r="O14" s="122">
        <v>0</v>
      </c>
      <c r="P14" s="122">
        <v>-4110</v>
      </c>
      <c r="Q14" s="122">
        <v>0</v>
      </c>
      <c r="R14" s="124">
        <v>0</v>
      </c>
      <c r="S14" s="124">
        <v>0</v>
      </c>
      <c r="T14" s="122">
        <v>-1729</v>
      </c>
      <c r="U14" s="122">
        <v>-45063</v>
      </c>
      <c r="V14" s="124">
        <v>0</v>
      </c>
      <c r="W14" s="124">
        <v>0</v>
      </c>
      <c r="X14" s="124">
        <v>0</v>
      </c>
      <c r="Y14" s="124">
        <v>0</v>
      </c>
      <c r="Z14" s="122">
        <v>-209</v>
      </c>
      <c r="AA14" s="122">
        <v>0</v>
      </c>
      <c r="AB14" s="124">
        <v>0</v>
      </c>
      <c r="AC14" s="122">
        <v>0</v>
      </c>
      <c r="AD14" s="124">
        <v>0</v>
      </c>
      <c r="AE14" s="124">
        <v>0</v>
      </c>
      <c r="AF14" s="124">
        <v>0</v>
      </c>
      <c r="AG14" s="122">
        <v>-166</v>
      </c>
      <c r="AH14" s="122">
        <v>-63985</v>
      </c>
      <c r="AI14" s="124">
        <v>0</v>
      </c>
      <c r="AJ14" s="124">
        <v>0</v>
      </c>
      <c r="AK14" s="122">
        <v>-276</v>
      </c>
      <c r="AL14" s="122">
        <v>-607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/>
      <c r="AS14" s="11">
        <f>SUM(C14:AQ14)</f>
        <v>-181629</v>
      </c>
    </row>
    <row r="15" spans="1:45" ht="12.75" customHeight="1">
      <c r="A15" s="6" t="s">
        <v>51</v>
      </c>
      <c r="B15" s="6"/>
      <c r="C15" s="122">
        <v>794</v>
      </c>
      <c r="D15" s="122">
        <v>6624</v>
      </c>
      <c r="E15" s="124">
        <v>8966</v>
      </c>
      <c r="F15" s="124">
        <v>5363</v>
      </c>
      <c r="G15" s="28">
        <v>0</v>
      </c>
      <c r="H15" s="124">
        <v>2738</v>
      </c>
      <c r="I15" s="124">
        <v>0</v>
      </c>
      <c r="J15" s="122">
        <v>4111</v>
      </c>
      <c r="K15" s="124">
        <v>2881</v>
      </c>
      <c r="L15" s="124">
        <v>1533</v>
      </c>
      <c r="M15" s="122">
        <v>0</v>
      </c>
      <c r="N15" s="122">
        <v>0</v>
      </c>
      <c r="O15" s="122">
        <v>18</v>
      </c>
      <c r="P15" s="122">
        <v>1297</v>
      </c>
      <c r="Q15" s="122">
        <v>6967</v>
      </c>
      <c r="R15" s="124">
        <v>0</v>
      </c>
      <c r="S15" s="122">
        <v>37</v>
      </c>
      <c r="T15" s="122">
        <v>0</v>
      </c>
      <c r="U15" s="122">
        <v>504</v>
      </c>
      <c r="V15" s="122">
        <v>56</v>
      </c>
      <c r="W15" s="124">
        <v>0</v>
      </c>
      <c r="X15" s="124">
        <v>0</v>
      </c>
      <c r="Y15" s="124">
        <v>0</v>
      </c>
      <c r="Z15" s="122">
        <v>9</v>
      </c>
      <c r="AA15" s="122">
        <v>0</v>
      </c>
      <c r="AB15" s="124">
        <v>0</v>
      </c>
      <c r="AC15" s="122">
        <v>447</v>
      </c>
      <c r="AD15" s="124">
        <v>0</v>
      </c>
      <c r="AE15" s="124">
        <v>0</v>
      </c>
      <c r="AF15" s="122">
        <v>310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/>
      <c r="AS15" s="11">
        <f>SUM(C15:AQ15)</f>
        <v>42655</v>
      </c>
    </row>
    <row r="16" spans="1:45" ht="12.75" customHeight="1">
      <c r="A16" s="6" t="s">
        <v>52</v>
      </c>
      <c r="B16" s="6"/>
      <c r="C16" s="122">
        <v>0</v>
      </c>
      <c r="D16" s="122">
        <v>0</v>
      </c>
      <c r="E16" s="124">
        <v>0</v>
      </c>
      <c r="F16" s="124">
        <v>0</v>
      </c>
      <c r="G16" s="28">
        <v>0</v>
      </c>
      <c r="H16" s="124">
        <v>0</v>
      </c>
      <c r="I16" s="124">
        <v>0</v>
      </c>
      <c r="J16" s="122">
        <v>0</v>
      </c>
      <c r="K16" s="124">
        <v>0</v>
      </c>
      <c r="L16" s="124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4">
        <v>1260</v>
      </c>
      <c r="S16" s="124">
        <v>0</v>
      </c>
      <c r="T16" s="122">
        <v>0</v>
      </c>
      <c r="U16" s="122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2">
        <v>0</v>
      </c>
      <c r="AB16" s="124">
        <v>0</v>
      </c>
      <c r="AC16" s="122">
        <v>-518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/>
      <c r="AS16" s="11">
        <f>SUM(C16:AQ16)</f>
        <v>742</v>
      </c>
    </row>
    <row r="17" spans="1:45" ht="12.75" customHeight="1">
      <c r="A17" s="19" t="s">
        <v>413</v>
      </c>
      <c r="B17" s="12"/>
      <c r="C17" s="28">
        <f aca="true" t="shared" si="1" ref="C17:AQ17">SUM(C13:C16)</f>
        <v>14053356</v>
      </c>
      <c r="D17" s="28">
        <f t="shared" si="1"/>
        <v>3503213</v>
      </c>
      <c r="E17" s="28">
        <f t="shared" si="1"/>
        <v>4872574</v>
      </c>
      <c r="F17" s="28">
        <f t="shared" si="1"/>
        <v>2099519</v>
      </c>
      <c r="G17" s="28">
        <f t="shared" si="1"/>
        <v>1135743</v>
      </c>
      <c r="H17" s="28">
        <f t="shared" si="1"/>
        <v>1455584</v>
      </c>
      <c r="I17" s="28">
        <f t="shared" si="1"/>
        <v>798306</v>
      </c>
      <c r="J17" s="28">
        <f t="shared" si="1"/>
        <v>1378576</v>
      </c>
      <c r="K17" s="28">
        <f t="shared" si="1"/>
        <v>513602</v>
      </c>
      <c r="L17" s="28">
        <f t="shared" si="1"/>
        <v>1167757</v>
      </c>
      <c r="M17" s="28">
        <f t="shared" si="1"/>
        <v>906405</v>
      </c>
      <c r="N17" s="28">
        <f t="shared" si="1"/>
        <v>540057</v>
      </c>
      <c r="O17" s="28">
        <f t="shared" si="1"/>
        <v>225620</v>
      </c>
      <c r="P17" s="28">
        <f t="shared" si="1"/>
        <v>519794</v>
      </c>
      <c r="Q17" s="28">
        <f t="shared" si="1"/>
        <v>237259</v>
      </c>
      <c r="R17" s="28">
        <f t="shared" si="1"/>
        <v>259242</v>
      </c>
      <c r="S17" s="28">
        <f t="shared" si="1"/>
        <v>969867</v>
      </c>
      <c r="T17" s="28">
        <f t="shared" si="1"/>
        <v>438408</v>
      </c>
      <c r="U17" s="28">
        <f t="shared" si="1"/>
        <v>697962</v>
      </c>
      <c r="V17" s="28">
        <f t="shared" si="1"/>
        <v>405197</v>
      </c>
      <c r="W17" s="28">
        <f t="shared" si="1"/>
        <v>1737655</v>
      </c>
      <c r="X17" s="28">
        <f t="shared" si="1"/>
        <v>368464</v>
      </c>
      <c r="Y17" s="28">
        <f t="shared" si="1"/>
        <v>166680</v>
      </c>
      <c r="Z17" s="28">
        <f t="shared" si="1"/>
        <v>88736</v>
      </c>
      <c r="AA17" s="28">
        <f t="shared" si="1"/>
        <v>180100</v>
      </c>
      <c r="AB17" s="28">
        <f t="shared" si="1"/>
        <v>117589</v>
      </c>
      <c r="AC17" s="28">
        <f t="shared" si="1"/>
        <v>38228</v>
      </c>
      <c r="AD17" s="28">
        <f t="shared" si="1"/>
        <v>154902</v>
      </c>
      <c r="AE17" s="28">
        <f t="shared" si="1"/>
        <v>229833</v>
      </c>
      <c r="AF17" s="28">
        <f t="shared" si="1"/>
        <v>90284</v>
      </c>
      <c r="AG17" s="28">
        <f t="shared" si="1"/>
        <v>84410</v>
      </c>
      <c r="AH17" s="28">
        <f t="shared" si="1"/>
        <v>78504</v>
      </c>
      <c r="AI17" s="28">
        <f t="shared" si="1"/>
        <v>39633</v>
      </c>
      <c r="AJ17" s="28">
        <f t="shared" si="1"/>
        <v>44039</v>
      </c>
      <c r="AK17" s="28">
        <f t="shared" si="1"/>
        <v>39118</v>
      </c>
      <c r="AL17" s="28">
        <f t="shared" si="1"/>
        <v>38377</v>
      </c>
      <c r="AM17" s="28">
        <f t="shared" si="1"/>
        <v>41905</v>
      </c>
      <c r="AN17" s="28">
        <f t="shared" si="1"/>
        <v>51369</v>
      </c>
      <c r="AO17" s="28">
        <f t="shared" si="1"/>
        <v>55768</v>
      </c>
      <c r="AP17" s="28">
        <f t="shared" si="1"/>
        <v>72411</v>
      </c>
      <c r="AQ17" s="28">
        <f t="shared" si="1"/>
        <v>173722</v>
      </c>
      <c r="AR17" s="28"/>
      <c r="AS17" s="28">
        <f>SUM(AS13:AS16)</f>
        <v>40069768</v>
      </c>
    </row>
    <row r="18" spans="2:44" ht="13.5" customHeight="1">
      <c r="B18" s="19"/>
      <c r="C18" s="122"/>
      <c r="D18" s="122"/>
      <c r="E18" s="124"/>
      <c r="F18" s="124"/>
      <c r="G18" s="28"/>
      <c r="H18" s="124"/>
      <c r="I18" s="124"/>
      <c r="J18" s="122"/>
      <c r="K18" s="124"/>
      <c r="L18" s="124"/>
      <c r="M18" s="122"/>
      <c r="N18" s="122"/>
      <c r="O18" s="122"/>
      <c r="P18" s="122"/>
      <c r="Q18" s="122"/>
      <c r="R18" s="124"/>
      <c r="S18" s="124"/>
      <c r="T18" s="122"/>
      <c r="U18" s="122"/>
      <c r="V18" s="124"/>
      <c r="W18" s="124"/>
      <c r="X18" s="124"/>
      <c r="Y18" s="124"/>
      <c r="Z18" s="124"/>
      <c r="AA18" s="122"/>
      <c r="AB18" s="124"/>
      <c r="AC18" s="122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1:44" ht="12.75" customHeight="1">
      <c r="A19" s="4" t="s">
        <v>54</v>
      </c>
      <c r="B19" s="4"/>
      <c r="C19" s="122"/>
      <c r="D19" s="122"/>
      <c r="E19" s="124"/>
      <c r="F19" s="124"/>
      <c r="G19" s="28"/>
      <c r="H19" s="124"/>
      <c r="I19" s="124"/>
      <c r="J19" s="122"/>
      <c r="K19" s="124"/>
      <c r="L19" s="124"/>
      <c r="M19" s="122"/>
      <c r="N19" s="122"/>
      <c r="O19" s="122"/>
      <c r="P19" s="122"/>
      <c r="Q19" s="122"/>
      <c r="R19" s="124"/>
      <c r="S19" s="124"/>
      <c r="T19" s="122"/>
      <c r="U19" s="122"/>
      <c r="V19" s="124"/>
      <c r="W19" s="124"/>
      <c r="X19" s="124"/>
      <c r="Y19" s="124"/>
      <c r="Z19" s="124"/>
      <c r="AA19" s="122"/>
      <c r="AB19" s="124"/>
      <c r="AC19" s="122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1:45" ht="12.75" customHeight="1">
      <c r="A20" s="6" t="s">
        <v>55</v>
      </c>
      <c r="B20" s="6"/>
      <c r="C20" s="122">
        <v>0</v>
      </c>
      <c r="D20" s="122">
        <v>0</v>
      </c>
      <c r="E20" s="124">
        <v>0</v>
      </c>
      <c r="F20" s="124">
        <v>0</v>
      </c>
      <c r="G20" s="28">
        <v>0</v>
      </c>
      <c r="H20" s="124">
        <v>0</v>
      </c>
      <c r="I20" s="124">
        <v>0</v>
      </c>
      <c r="J20" s="122">
        <v>0</v>
      </c>
      <c r="K20" s="124">
        <v>0</v>
      </c>
      <c r="L20" s="124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4">
        <v>0</v>
      </c>
      <c r="S20" s="124">
        <v>0</v>
      </c>
      <c r="T20" s="122">
        <v>0</v>
      </c>
      <c r="U20" s="122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2">
        <v>0</v>
      </c>
      <c r="AB20" s="124">
        <v>0</v>
      </c>
      <c r="AC20" s="122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/>
      <c r="AS20" s="11">
        <f aca="true" t="shared" si="2" ref="AS20:AS28">SUM(C20:AQ20)</f>
        <v>0</v>
      </c>
    </row>
    <row r="21" spans="1:45" ht="12.75" customHeight="1">
      <c r="A21" s="6" t="s">
        <v>56</v>
      </c>
      <c r="B21" s="6"/>
      <c r="C21" s="122">
        <v>27480218</v>
      </c>
      <c r="D21" s="122">
        <v>0</v>
      </c>
      <c r="E21" s="124">
        <v>0</v>
      </c>
      <c r="F21" s="124">
        <v>0</v>
      </c>
      <c r="G21" s="28">
        <v>0</v>
      </c>
      <c r="H21" s="124">
        <v>0</v>
      </c>
      <c r="I21" s="124">
        <v>0</v>
      </c>
      <c r="J21" s="122">
        <v>0</v>
      </c>
      <c r="K21" s="124">
        <v>0</v>
      </c>
      <c r="L21" s="124">
        <v>0</v>
      </c>
      <c r="M21" s="122">
        <v>0</v>
      </c>
      <c r="N21" s="122">
        <v>-945</v>
      </c>
      <c r="O21" s="122">
        <v>0</v>
      </c>
      <c r="P21" s="122">
        <v>0</v>
      </c>
      <c r="Q21" s="122">
        <v>0</v>
      </c>
      <c r="R21" s="124">
        <v>0</v>
      </c>
      <c r="S21" s="124">
        <v>0</v>
      </c>
      <c r="T21" s="122">
        <v>21</v>
      </c>
      <c r="U21" s="122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2">
        <v>0</v>
      </c>
      <c r="AB21" s="124">
        <v>0</v>
      </c>
      <c r="AC21" s="122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/>
      <c r="AS21" s="11">
        <f t="shared" si="2"/>
        <v>27479294</v>
      </c>
    </row>
    <row r="22" spans="1:45" ht="12.75" customHeight="1">
      <c r="A22" s="6" t="s">
        <v>57</v>
      </c>
      <c r="B22" s="6"/>
      <c r="C22" s="122">
        <v>0</v>
      </c>
      <c r="D22" s="122">
        <v>28237600</v>
      </c>
      <c r="E22" s="124">
        <v>7623858</v>
      </c>
      <c r="F22" s="124">
        <v>1964929</v>
      </c>
      <c r="G22" s="28">
        <v>1315145</v>
      </c>
      <c r="H22" s="124">
        <v>5451147</v>
      </c>
      <c r="I22" s="124">
        <v>439068</v>
      </c>
      <c r="J22" s="122">
        <v>1317253</v>
      </c>
      <c r="K22" s="124">
        <v>0</v>
      </c>
      <c r="L22" s="124">
        <v>2557062</v>
      </c>
      <c r="M22" s="122">
        <v>351</v>
      </c>
      <c r="N22" s="122">
        <v>643015</v>
      </c>
      <c r="O22" s="122">
        <v>2451045</v>
      </c>
      <c r="P22" s="122">
        <v>1228047</v>
      </c>
      <c r="Q22" s="122">
        <v>261338</v>
      </c>
      <c r="R22" s="124">
        <v>3323</v>
      </c>
      <c r="S22" s="122">
        <v>2298287</v>
      </c>
      <c r="T22" s="122">
        <v>848866</v>
      </c>
      <c r="U22" s="122">
        <v>26326</v>
      </c>
      <c r="V22" s="122">
        <v>25899</v>
      </c>
      <c r="W22" s="122">
        <v>-18018</v>
      </c>
      <c r="X22" s="122">
        <v>370225</v>
      </c>
      <c r="Y22" s="124">
        <v>0</v>
      </c>
      <c r="Z22" s="122">
        <v>254188</v>
      </c>
      <c r="AA22" s="122">
        <v>29543</v>
      </c>
      <c r="AB22" s="122">
        <v>16</v>
      </c>
      <c r="AC22" s="122">
        <v>917</v>
      </c>
      <c r="AD22" s="122">
        <v>224018</v>
      </c>
      <c r="AE22" s="124">
        <v>0</v>
      </c>
      <c r="AF22" s="122">
        <v>221807</v>
      </c>
      <c r="AG22" s="122">
        <v>19</v>
      </c>
      <c r="AH22" s="124">
        <v>0</v>
      </c>
      <c r="AI22" s="122">
        <v>5918</v>
      </c>
      <c r="AJ22" s="122">
        <v>6</v>
      </c>
      <c r="AK22" s="122">
        <v>1253</v>
      </c>
      <c r="AL22" s="122">
        <v>45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/>
      <c r="AS22" s="11">
        <f t="shared" si="2"/>
        <v>57782496</v>
      </c>
    </row>
    <row r="23" spans="1:45" ht="12.75" customHeight="1">
      <c r="A23" s="6" t="s">
        <v>58</v>
      </c>
      <c r="B23" s="6"/>
      <c r="C23" s="122">
        <v>0</v>
      </c>
      <c r="D23" s="122">
        <v>2100</v>
      </c>
      <c r="E23" s="124">
        <v>5546</v>
      </c>
      <c r="F23" s="124">
        <v>6380</v>
      </c>
      <c r="G23" s="28">
        <v>0</v>
      </c>
      <c r="H23" s="124">
        <v>0</v>
      </c>
      <c r="I23" s="124">
        <v>0</v>
      </c>
      <c r="J23" s="122">
        <v>66</v>
      </c>
      <c r="K23" s="124">
        <v>0</v>
      </c>
      <c r="L23" s="124">
        <v>228</v>
      </c>
      <c r="M23" s="122">
        <v>0</v>
      </c>
      <c r="N23" s="122">
        <v>13534</v>
      </c>
      <c r="O23" s="122">
        <v>0</v>
      </c>
      <c r="P23" s="122">
        <v>3946</v>
      </c>
      <c r="Q23" s="122">
        <v>0</v>
      </c>
      <c r="R23" s="124">
        <v>0</v>
      </c>
      <c r="S23" s="124">
        <v>0</v>
      </c>
      <c r="T23" s="122">
        <v>0</v>
      </c>
      <c r="U23" s="122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2">
        <v>0</v>
      </c>
      <c r="AB23" s="124">
        <v>0</v>
      </c>
      <c r="AC23" s="122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/>
      <c r="AS23" s="11">
        <f t="shared" si="2"/>
        <v>31800</v>
      </c>
    </row>
    <row r="24" spans="1:45" ht="12.75" customHeight="1">
      <c r="A24" s="6" t="s">
        <v>59</v>
      </c>
      <c r="B24" s="6"/>
      <c r="C24" s="122">
        <v>16611506</v>
      </c>
      <c r="D24" s="122">
        <v>12161958</v>
      </c>
      <c r="E24" s="124">
        <v>23698166</v>
      </c>
      <c r="F24" s="124">
        <v>12401942</v>
      </c>
      <c r="G24" s="28">
        <v>11396676</v>
      </c>
      <c r="H24" s="124">
        <v>5209193</v>
      </c>
      <c r="I24" s="124">
        <v>8167749</v>
      </c>
      <c r="J24" s="122">
        <v>7138125</v>
      </c>
      <c r="K24" s="124">
        <v>3579769</v>
      </c>
      <c r="L24" s="124">
        <v>5145507</v>
      </c>
      <c r="M24" s="122">
        <v>4319169</v>
      </c>
      <c r="N24" s="122">
        <v>3206001</v>
      </c>
      <c r="O24" s="122">
        <v>1462931</v>
      </c>
      <c r="P24" s="122">
        <v>2585764</v>
      </c>
      <c r="Q24" s="122">
        <v>2595762</v>
      </c>
      <c r="R24" s="124">
        <v>3120235</v>
      </c>
      <c r="S24" s="122">
        <v>1258767</v>
      </c>
      <c r="T24" s="122">
        <v>2867590</v>
      </c>
      <c r="U24" s="122">
        <v>2984730</v>
      </c>
      <c r="V24" s="122">
        <v>1940101</v>
      </c>
      <c r="W24" s="122">
        <v>1363145</v>
      </c>
      <c r="X24" s="122">
        <v>1094399</v>
      </c>
      <c r="Y24" s="122">
        <v>542678</v>
      </c>
      <c r="Z24" s="122">
        <v>241051</v>
      </c>
      <c r="AA24" s="122">
        <v>452214</v>
      </c>
      <c r="AB24" s="122">
        <v>371657</v>
      </c>
      <c r="AC24" s="122">
        <v>342302</v>
      </c>
      <c r="AD24" s="122">
        <v>118420</v>
      </c>
      <c r="AE24" s="122">
        <v>315176</v>
      </c>
      <c r="AF24" s="122">
        <v>122655</v>
      </c>
      <c r="AG24" s="122">
        <v>237284</v>
      </c>
      <c r="AH24" s="122">
        <v>160860</v>
      </c>
      <c r="AI24" s="122">
        <v>116527</v>
      </c>
      <c r="AJ24" s="122">
        <v>89967</v>
      </c>
      <c r="AK24" s="122">
        <v>85222</v>
      </c>
      <c r="AL24" s="122">
        <v>64875</v>
      </c>
      <c r="AM24" s="122">
        <v>55556</v>
      </c>
      <c r="AN24" s="122">
        <v>44956</v>
      </c>
      <c r="AO24" s="122">
        <v>25838</v>
      </c>
      <c r="AP24" s="122">
        <v>5510</v>
      </c>
      <c r="AQ24" s="122">
        <v>4372</v>
      </c>
      <c r="AR24" s="124"/>
      <c r="AS24" s="11">
        <f t="shared" si="2"/>
        <v>137706305</v>
      </c>
    </row>
    <row r="25" spans="1:45" ht="12.75" customHeight="1">
      <c r="A25" s="6" t="s">
        <v>60</v>
      </c>
      <c r="B25" s="6"/>
      <c r="C25" s="122">
        <v>0</v>
      </c>
      <c r="D25" s="122">
        <v>0</v>
      </c>
      <c r="E25" s="124">
        <v>0</v>
      </c>
      <c r="F25" s="124">
        <v>0</v>
      </c>
      <c r="G25" s="28">
        <v>0</v>
      </c>
      <c r="H25" s="124">
        <v>0</v>
      </c>
      <c r="I25" s="124">
        <v>0</v>
      </c>
      <c r="J25" s="122">
        <v>0</v>
      </c>
      <c r="K25" s="124">
        <v>4214889</v>
      </c>
      <c r="L25" s="124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4">
        <v>0</v>
      </c>
      <c r="S25" s="124">
        <v>0</v>
      </c>
      <c r="T25" s="122">
        <v>0</v>
      </c>
      <c r="U25" s="122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2">
        <v>-6818</v>
      </c>
      <c r="AB25" s="124">
        <v>0</v>
      </c>
      <c r="AC25" s="122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/>
      <c r="AS25" s="11">
        <f t="shared" si="2"/>
        <v>4208071</v>
      </c>
    </row>
    <row r="26" spans="1:45" ht="12.75" customHeight="1">
      <c r="A26" s="6" t="s">
        <v>61</v>
      </c>
      <c r="B26" s="6"/>
      <c r="C26" s="122">
        <v>0</v>
      </c>
      <c r="D26" s="122">
        <v>0</v>
      </c>
      <c r="E26" s="124">
        <v>0</v>
      </c>
      <c r="F26" s="124">
        <v>0</v>
      </c>
      <c r="G26" s="28">
        <v>0</v>
      </c>
      <c r="H26" s="124">
        <v>0</v>
      </c>
      <c r="I26" s="124">
        <v>0</v>
      </c>
      <c r="J26" s="122">
        <v>0</v>
      </c>
      <c r="K26" s="124">
        <v>0</v>
      </c>
      <c r="L26" s="124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4">
        <v>0</v>
      </c>
      <c r="S26" s="124">
        <v>0</v>
      </c>
      <c r="T26" s="122">
        <v>0</v>
      </c>
      <c r="U26" s="122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2">
        <v>0</v>
      </c>
      <c r="AB26" s="124">
        <v>0</v>
      </c>
      <c r="AC26" s="122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/>
      <c r="AS26" s="11">
        <f t="shared" si="2"/>
        <v>0</v>
      </c>
    </row>
    <row r="27" spans="1:45" ht="12.75" customHeight="1">
      <c r="A27" s="6" t="s">
        <v>62</v>
      </c>
      <c r="B27" s="6"/>
      <c r="C27" s="122">
        <v>-7847</v>
      </c>
      <c r="D27" s="122">
        <v>-7000</v>
      </c>
      <c r="E27" s="124">
        <v>0</v>
      </c>
      <c r="F27" s="124">
        <v>-16972</v>
      </c>
      <c r="G27" s="28">
        <v>0</v>
      </c>
      <c r="H27" s="124">
        <v>7638</v>
      </c>
      <c r="I27" s="124">
        <v>0</v>
      </c>
      <c r="J27" s="122">
        <v>-49714</v>
      </c>
      <c r="K27" s="124">
        <v>0</v>
      </c>
      <c r="L27" s="124">
        <v>6162</v>
      </c>
      <c r="M27" s="122">
        <v>0</v>
      </c>
      <c r="N27" s="122">
        <v>-30620</v>
      </c>
      <c r="O27" s="122">
        <v>0</v>
      </c>
      <c r="P27" s="122">
        <v>-34227</v>
      </c>
      <c r="Q27" s="122">
        <v>0</v>
      </c>
      <c r="R27" s="124">
        <v>0</v>
      </c>
      <c r="S27" s="122">
        <v>1130</v>
      </c>
      <c r="T27" s="122">
        <v>0</v>
      </c>
      <c r="U27" s="122">
        <v>-49</v>
      </c>
      <c r="V27" s="124">
        <v>0</v>
      </c>
      <c r="W27" s="124">
        <v>0</v>
      </c>
      <c r="X27" s="124">
        <v>0</v>
      </c>
      <c r="Y27" s="124">
        <v>0</v>
      </c>
      <c r="Z27" s="122">
        <v>-3170</v>
      </c>
      <c r="AA27" s="122">
        <v>0</v>
      </c>
      <c r="AB27" s="124">
        <v>0</v>
      </c>
      <c r="AC27" s="122">
        <v>0</v>
      </c>
      <c r="AD27" s="124">
        <v>0</v>
      </c>
      <c r="AE27" s="122">
        <v>-108</v>
      </c>
      <c r="AF27" s="122">
        <v>11298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2">
        <v>50</v>
      </c>
      <c r="AR27" s="124"/>
      <c r="AS27" s="11">
        <f t="shared" si="2"/>
        <v>-123429</v>
      </c>
    </row>
    <row r="28" spans="1:45" ht="12.75" customHeight="1">
      <c r="A28" s="6" t="s">
        <v>63</v>
      </c>
      <c r="B28" s="6"/>
      <c r="C28" s="122">
        <v>0</v>
      </c>
      <c r="D28" s="122">
        <v>0</v>
      </c>
      <c r="E28" s="124">
        <v>0</v>
      </c>
      <c r="F28" s="124">
        <v>0</v>
      </c>
      <c r="G28" s="28">
        <v>0</v>
      </c>
      <c r="H28" s="124">
        <v>0</v>
      </c>
      <c r="I28" s="124">
        <v>0</v>
      </c>
      <c r="J28" s="122">
        <v>-437370</v>
      </c>
      <c r="K28" s="124">
        <v>0</v>
      </c>
      <c r="L28" s="124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4">
        <v>0</v>
      </c>
      <c r="S28" s="124">
        <v>0</v>
      </c>
      <c r="T28" s="122">
        <v>0</v>
      </c>
      <c r="U28" s="122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2">
        <v>0</v>
      </c>
      <c r="AB28" s="124">
        <v>0</v>
      </c>
      <c r="AC28" s="122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2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/>
      <c r="AS28" s="11">
        <f t="shared" si="2"/>
        <v>-437370</v>
      </c>
    </row>
    <row r="29" spans="1:45" ht="12.75" customHeight="1">
      <c r="A29" s="19" t="s">
        <v>414</v>
      </c>
      <c r="B29" s="12"/>
      <c r="C29" s="28">
        <f aca="true" t="shared" si="3" ref="C29:AQ29">SUM(C20:C28)</f>
        <v>44083877</v>
      </c>
      <c r="D29" s="28">
        <f t="shared" si="3"/>
        <v>40394658</v>
      </c>
      <c r="E29" s="28">
        <f t="shared" si="3"/>
        <v>31327570</v>
      </c>
      <c r="F29" s="28">
        <f t="shared" si="3"/>
        <v>14356279</v>
      </c>
      <c r="G29" s="28">
        <f t="shared" si="3"/>
        <v>12711821</v>
      </c>
      <c r="H29" s="28">
        <f t="shared" si="3"/>
        <v>10667978</v>
      </c>
      <c r="I29" s="28">
        <f t="shared" si="3"/>
        <v>8606817</v>
      </c>
      <c r="J29" s="28">
        <f t="shared" si="3"/>
        <v>7968360</v>
      </c>
      <c r="K29" s="28">
        <f t="shared" si="3"/>
        <v>7794658</v>
      </c>
      <c r="L29" s="28">
        <f t="shared" si="3"/>
        <v>7708959</v>
      </c>
      <c r="M29" s="28">
        <f t="shared" si="3"/>
        <v>4319520</v>
      </c>
      <c r="N29" s="28">
        <f t="shared" si="3"/>
        <v>3830985</v>
      </c>
      <c r="O29" s="28">
        <f t="shared" si="3"/>
        <v>3913976</v>
      </c>
      <c r="P29" s="28">
        <f t="shared" si="3"/>
        <v>3783530</v>
      </c>
      <c r="Q29" s="28">
        <f t="shared" si="3"/>
        <v>2857100</v>
      </c>
      <c r="R29" s="28">
        <f t="shared" si="3"/>
        <v>3123558</v>
      </c>
      <c r="S29" s="28">
        <f t="shared" si="3"/>
        <v>3558184</v>
      </c>
      <c r="T29" s="28">
        <f t="shared" si="3"/>
        <v>3716477</v>
      </c>
      <c r="U29" s="28">
        <f t="shared" si="3"/>
        <v>3011007</v>
      </c>
      <c r="V29" s="28">
        <f t="shared" si="3"/>
        <v>1966000</v>
      </c>
      <c r="W29" s="28">
        <f t="shared" si="3"/>
        <v>1345127</v>
      </c>
      <c r="X29" s="28">
        <f t="shared" si="3"/>
        <v>1464624</v>
      </c>
      <c r="Y29" s="28">
        <f t="shared" si="3"/>
        <v>542678</v>
      </c>
      <c r="Z29" s="28">
        <f t="shared" si="3"/>
        <v>492069</v>
      </c>
      <c r="AA29" s="28">
        <f t="shared" si="3"/>
        <v>474939</v>
      </c>
      <c r="AB29" s="28">
        <f t="shared" si="3"/>
        <v>371673</v>
      </c>
      <c r="AC29" s="28">
        <f t="shared" si="3"/>
        <v>343219</v>
      </c>
      <c r="AD29" s="28">
        <f t="shared" si="3"/>
        <v>342438</v>
      </c>
      <c r="AE29" s="28">
        <f t="shared" si="3"/>
        <v>315068</v>
      </c>
      <c r="AF29" s="28">
        <f t="shared" si="3"/>
        <v>355760</v>
      </c>
      <c r="AG29" s="28">
        <f t="shared" si="3"/>
        <v>237303</v>
      </c>
      <c r="AH29" s="28">
        <f t="shared" si="3"/>
        <v>160860</v>
      </c>
      <c r="AI29" s="28">
        <f t="shared" si="3"/>
        <v>122445</v>
      </c>
      <c r="AJ29" s="28">
        <f t="shared" si="3"/>
        <v>89973</v>
      </c>
      <c r="AK29" s="28">
        <f t="shared" si="3"/>
        <v>86475</v>
      </c>
      <c r="AL29" s="28">
        <f t="shared" si="3"/>
        <v>64920</v>
      </c>
      <c r="AM29" s="28">
        <f t="shared" si="3"/>
        <v>55556</v>
      </c>
      <c r="AN29" s="28">
        <f t="shared" si="3"/>
        <v>44956</v>
      </c>
      <c r="AO29" s="28">
        <f t="shared" si="3"/>
        <v>25838</v>
      </c>
      <c r="AP29" s="28">
        <f t="shared" si="3"/>
        <v>5510</v>
      </c>
      <c r="AQ29" s="28">
        <f t="shared" si="3"/>
        <v>4422</v>
      </c>
      <c r="AR29" s="28"/>
      <c r="AS29" s="28">
        <f>SUM(AS20:AS28)</f>
        <v>226647167</v>
      </c>
    </row>
    <row r="30" spans="2:44" ht="12.75" customHeight="1">
      <c r="B30" s="19"/>
      <c r="C30" s="122"/>
      <c r="D30" s="122"/>
      <c r="E30" s="124"/>
      <c r="F30" s="124"/>
      <c r="G30" s="28"/>
      <c r="H30" s="124"/>
      <c r="I30" s="124"/>
      <c r="J30" s="122"/>
      <c r="K30" s="124"/>
      <c r="L30" s="124"/>
      <c r="M30" s="122"/>
      <c r="N30" s="122"/>
      <c r="O30" s="122"/>
      <c r="P30" s="122"/>
      <c r="Q30" s="122"/>
      <c r="R30" s="124"/>
      <c r="S30" s="124"/>
      <c r="T30" s="122"/>
      <c r="U30" s="122"/>
      <c r="V30" s="124"/>
      <c r="W30" s="124"/>
      <c r="X30" s="124"/>
      <c r="Y30" s="124"/>
      <c r="Z30" s="124"/>
      <c r="AA30" s="122"/>
      <c r="AB30" s="124"/>
      <c r="AC30" s="122"/>
      <c r="AD30" s="124"/>
      <c r="AE30" s="124"/>
      <c r="AF30" s="124"/>
      <c r="AG30" s="124"/>
      <c r="AH30" s="124"/>
      <c r="AI30" s="124"/>
      <c r="AJ30" s="124"/>
      <c r="AK30" s="122"/>
      <c r="AL30" s="124"/>
      <c r="AM30" s="124"/>
      <c r="AN30" s="124"/>
      <c r="AO30" s="124"/>
      <c r="AP30" s="124"/>
      <c r="AQ30" s="124"/>
      <c r="AR30" s="124"/>
    </row>
    <row r="31" spans="1:44" ht="12.75" customHeight="1">
      <c r="A31" s="4" t="s">
        <v>65</v>
      </c>
      <c r="B31" s="4"/>
      <c r="C31" s="122"/>
      <c r="D31" s="122"/>
      <c r="E31" s="124"/>
      <c r="F31" s="124"/>
      <c r="G31" s="28"/>
      <c r="H31" s="124"/>
      <c r="I31" s="124"/>
      <c r="J31" s="122"/>
      <c r="K31" s="124"/>
      <c r="L31" s="124"/>
      <c r="M31" s="122"/>
      <c r="N31" s="122"/>
      <c r="O31" s="122"/>
      <c r="P31" s="122"/>
      <c r="Q31" s="122"/>
      <c r="R31" s="124"/>
      <c r="S31" s="124"/>
      <c r="T31" s="122"/>
      <c r="U31" s="122"/>
      <c r="V31" s="124"/>
      <c r="W31" s="124"/>
      <c r="X31" s="124"/>
      <c r="Y31" s="124"/>
      <c r="Z31" s="124"/>
      <c r="AA31" s="122"/>
      <c r="AB31" s="124"/>
      <c r="AC31" s="122"/>
      <c r="AD31" s="124"/>
      <c r="AE31" s="124"/>
      <c r="AF31" s="124"/>
      <c r="AG31" s="124"/>
      <c r="AH31" s="124"/>
      <c r="AI31" s="124"/>
      <c r="AJ31" s="124"/>
      <c r="AK31" s="122"/>
      <c r="AL31" s="124"/>
      <c r="AM31" s="124"/>
      <c r="AN31" s="124"/>
      <c r="AO31" s="124"/>
      <c r="AP31" s="124"/>
      <c r="AQ31" s="124"/>
      <c r="AR31" s="124"/>
    </row>
    <row r="32" spans="1:45" ht="12.75" customHeight="1">
      <c r="A32" s="6" t="s">
        <v>66</v>
      </c>
      <c r="B32" s="6"/>
      <c r="C32" s="122">
        <v>145600</v>
      </c>
      <c r="D32" s="122">
        <v>196768</v>
      </c>
      <c r="E32" s="124">
        <v>122852</v>
      </c>
      <c r="F32" s="124">
        <v>98672</v>
      </c>
      <c r="G32" s="28">
        <v>63718</v>
      </c>
      <c r="H32" s="124">
        <v>98618</v>
      </c>
      <c r="I32" s="124">
        <v>78708</v>
      </c>
      <c r="J32" s="122">
        <v>32241</v>
      </c>
      <c r="K32" s="124">
        <v>41224</v>
      </c>
      <c r="L32" s="124">
        <v>57632</v>
      </c>
      <c r="M32" s="122">
        <v>9835</v>
      </c>
      <c r="N32" s="122">
        <v>34641</v>
      </c>
      <c r="O32" s="122">
        <v>33498</v>
      </c>
      <c r="P32" s="122">
        <v>12084</v>
      </c>
      <c r="Q32" s="122">
        <v>12342</v>
      </c>
      <c r="R32" s="124">
        <v>21098</v>
      </c>
      <c r="S32" s="122">
        <v>13260</v>
      </c>
      <c r="T32" s="122">
        <v>16139</v>
      </c>
      <c r="U32" s="122">
        <v>11505</v>
      </c>
      <c r="V32" s="122">
        <v>5721</v>
      </c>
      <c r="W32" s="122">
        <v>10492</v>
      </c>
      <c r="X32" s="122">
        <v>2215</v>
      </c>
      <c r="Y32" s="122">
        <v>6498</v>
      </c>
      <c r="Z32" s="122">
        <v>6948</v>
      </c>
      <c r="AA32" s="122">
        <v>3215</v>
      </c>
      <c r="AB32" s="122">
        <v>1825</v>
      </c>
      <c r="AC32" s="122">
        <v>3048</v>
      </c>
      <c r="AD32" s="122">
        <v>3049</v>
      </c>
      <c r="AE32" s="122">
        <v>2320</v>
      </c>
      <c r="AF32" s="122">
        <v>3525</v>
      </c>
      <c r="AG32" s="122">
        <v>798</v>
      </c>
      <c r="AH32" s="122">
        <v>1500</v>
      </c>
      <c r="AI32" s="122">
        <v>987</v>
      </c>
      <c r="AJ32" s="122">
        <v>436</v>
      </c>
      <c r="AK32" s="122">
        <v>101</v>
      </c>
      <c r="AL32" s="122">
        <v>1756</v>
      </c>
      <c r="AM32" s="122">
        <v>486</v>
      </c>
      <c r="AN32" s="122">
        <v>76</v>
      </c>
      <c r="AO32" s="122">
        <v>1641</v>
      </c>
      <c r="AP32" s="124">
        <v>0</v>
      </c>
      <c r="AQ32" s="124">
        <v>0</v>
      </c>
      <c r="AR32" s="124"/>
      <c r="AS32" s="11">
        <f>SUM(C32:AQ32)</f>
        <v>1157072</v>
      </c>
    </row>
    <row r="33" spans="1:45" ht="12.75" customHeight="1">
      <c r="A33" s="6" t="s">
        <v>67</v>
      </c>
      <c r="B33" s="6"/>
      <c r="C33" s="122">
        <v>0</v>
      </c>
      <c r="D33" s="122">
        <v>0</v>
      </c>
      <c r="E33" s="124">
        <v>0</v>
      </c>
      <c r="F33" s="124">
        <v>0</v>
      </c>
      <c r="G33" s="28">
        <v>4349</v>
      </c>
      <c r="H33" s="124">
        <v>0</v>
      </c>
      <c r="I33" s="124">
        <v>0</v>
      </c>
      <c r="J33" s="122">
        <v>0</v>
      </c>
      <c r="K33" s="124">
        <v>2664</v>
      </c>
      <c r="L33" s="124">
        <v>17</v>
      </c>
      <c r="M33" s="122">
        <v>0</v>
      </c>
      <c r="N33" s="122">
        <v>382</v>
      </c>
      <c r="O33" s="122">
        <v>0</v>
      </c>
      <c r="P33" s="122">
        <v>786</v>
      </c>
      <c r="Q33" s="122">
        <v>0</v>
      </c>
      <c r="R33" s="124">
        <v>13304</v>
      </c>
      <c r="S33" s="124">
        <v>0</v>
      </c>
      <c r="T33" s="122">
        <v>0</v>
      </c>
      <c r="U33" s="122">
        <v>499</v>
      </c>
      <c r="V33" s="122">
        <v>52</v>
      </c>
      <c r="W33" s="124">
        <v>0</v>
      </c>
      <c r="X33" s="124">
        <v>0</v>
      </c>
      <c r="Y33" s="122">
        <v>14</v>
      </c>
      <c r="Z33" s="124">
        <v>0</v>
      </c>
      <c r="AA33" s="122">
        <v>0</v>
      </c>
      <c r="AB33" s="122">
        <v>50</v>
      </c>
      <c r="AC33" s="122">
        <v>1513</v>
      </c>
      <c r="AD33" s="124">
        <v>0</v>
      </c>
      <c r="AE33" s="124">
        <v>0</v>
      </c>
      <c r="AF33" s="124">
        <v>0</v>
      </c>
      <c r="AG33" s="122">
        <v>108</v>
      </c>
      <c r="AH33" s="122">
        <v>16</v>
      </c>
      <c r="AI33" s="124">
        <v>0</v>
      </c>
      <c r="AJ33" s="122">
        <v>115</v>
      </c>
      <c r="AK33" s="124">
        <v>0</v>
      </c>
      <c r="AL33" s="122">
        <v>94</v>
      </c>
      <c r="AM33" s="124">
        <v>0</v>
      </c>
      <c r="AN33" s="124">
        <v>0</v>
      </c>
      <c r="AO33" s="124">
        <v>0</v>
      </c>
      <c r="AP33" s="122">
        <v>1457</v>
      </c>
      <c r="AQ33" s="124">
        <v>0</v>
      </c>
      <c r="AR33" s="124"/>
      <c r="AS33" s="11">
        <f>SUM(C33:AQ33)</f>
        <v>25420</v>
      </c>
    </row>
    <row r="34" spans="1:45" ht="12.75" customHeight="1">
      <c r="A34" s="6" t="s">
        <v>68</v>
      </c>
      <c r="B34" s="6"/>
      <c r="C34" s="122">
        <v>0</v>
      </c>
      <c r="D34" s="122">
        <v>0</v>
      </c>
      <c r="E34" s="124">
        <v>0</v>
      </c>
      <c r="F34" s="124">
        <v>0</v>
      </c>
      <c r="G34" s="28">
        <v>0</v>
      </c>
      <c r="H34" s="124">
        <v>0</v>
      </c>
      <c r="I34" s="124">
        <v>0</v>
      </c>
      <c r="J34" s="122">
        <v>0</v>
      </c>
      <c r="K34" s="124">
        <v>0</v>
      </c>
      <c r="L34" s="124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4">
        <v>0</v>
      </c>
      <c r="S34" s="124">
        <v>0</v>
      </c>
      <c r="T34" s="122">
        <v>0</v>
      </c>
      <c r="U34" s="122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2">
        <v>0</v>
      </c>
      <c r="AB34" s="124">
        <v>0</v>
      </c>
      <c r="AC34" s="122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/>
      <c r="AS34" s="11">
        <f>SUM(C34:AQ34)</f>
        <v>0</v>
      </c>
    </row>
    <row r="35" spans="1:45" ht="12.75" customHeight="1">
      <c r="A35" s="6" t="s">
        <v>69</v>
      </c>
      <c r="B35" s="6"/>
      <c r="C35" s="122">
        <v>0</v>
      </c>
      <c r="D35" s="122">
        <v>0</v>
      </c>
      <c r="E35" s="124">
        <v>0</v>
      </c>
      <c r="F35" s="124">
        <v>0</v>
      </c>
      <c r="G35" s="28">
        <v>0</v>
      </c>
      <c r="H35" s="124">
        <v>0</v>
      </c>
      <c r="I35" s="124">
        <v>0</v>
      </c>
      <c r="J35" s="122">
        <v>0</v>
      </c>
      <c r="K35" s="124">
        <v>0</v>
      </c>
      <c r="L35" s="124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4">
        <v>0</v>
      </c>
      <c r="S35" s="124">
        <v>0</v>
      </c>
      <c r="T35" s="122">
        <v>0</v>
      </c>
      <c r="U35" s="122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2">
        <v>0</v>
      </c>
      <c r="AB35" s="124">
        <v>0</v>
      </c>
      <c r="AC35" s="122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2">
        <v>165</v>
      </c>
      <c r="AQ35" s="124">
        <v>0</v>
      </c>
      <c r="AR35" s="124"/>
      <c r="AS35" s="11">
        <f>SUM(C35:AQ35)</f>
        <v>165</v>
      </c>
    </row>
    <row r="36" spans="1:45" ht="12.75" customHeight="1">
      <c r="A36" s="6" t="s">
        <v>70</v>
      </c>
      <c r="B36" s="6"/>
      <c r="C36" s="122">
        <v>333477</v>
      </c>
      <c r="D36" s="122">
        <v>0</v>
      </c>
      <c r="E36" s="124">
        <v>0</v>
      </c>
      <c r="F36" s="124">
        <v>0</v>
      </c>
      <c r="G36" s="28">
        <v>0</v>
      </c>
      <c r="H36" s="124">
        <v>0</v>
      </c>
      <c r="I36" s="124">
        <v>88737</v>
      </c>
      <c r="J36" s="122">
        <v>0</v>
      </c>
      <c r="K36" s="124">
        <v>0</v>
      </c>
      <c r="L36" s="124">
        <v>14349</v>
      </c>
      <c r="M36" s="122">
        <v>22662</v>
      </c>
      <c r="N36" s="122">
        <v>19144</v>
      </c>
      <c r="O36" s="122">
        <v>52710</v>
      </c>
      <c r="P36" s="122">
        <v>0</v>
      </c>
      <c r="Q36" s="122">
        <v>18054</v>
      </c>
      <c r="R36" s="124">
        <v>0</v>
      </c>
      <c r="S36" s="122">
        <v>25913</v>
      </c>
      <c r="T36" s="122">
        <v>7112</v>
      </c>
      <c r="U36" s="122">
        <v>33959</v>
      </c>
      <c r="V36" s="122">
        <v>796</v>
      </c>
      <c r="W36" s="124">
        <v>0</v>
      </c>
      <c r="X36" s="122">
        <v>1500</v>
      </c>
      <c r="Y36" s="124">
        <v>0</v>
      </c>
      <c r="Z36" s="122">
        <v>1957</v>
      </c>
      <c r="AA36" s="122">
        <v>1000</v>
      </c>
      <c r="AB36" s="122">
        <v>374</v>
      </c>
      <c r="AC36" s="122">
        <v>1134</v>
      </c>
      <c r="AD36" s="124">
        <v>0</v>
      </c>
      <c r="AE36" s="124">
        <v>0</v>
      </c>
      <c r="AF36" s="124">
        <v>0</v>
      </c>
      <c r="AG36" s="124">
        <v>0</v>
      </c>
      <c r="AH36" s="122">
        <v>2161</v>
      </c>
      <c r="AI36" s="122">
        <v>356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/>
      <c r="AS36" s="11">
        <f>SUM(C36:AQ36)</f>
        <v>625395</v>
      </c>
    </row>
    <row r="37" spans="1:45" ht="12.75" customHeight="1">
      <c r="A37" s="19" t="s">
        <v>415</v>
      </c>
      <c r="B37" s="12"/>
      <c r="C37" s="28">
        <f aca="true" t="shared" si="4" ref="C37:AQ37">SUM(C32:C36)</f>
        <v>479077</v>
      </c>
      <c r="D37" s="28">
        <f t="shared" si="4"/>
        <v>196768</v>
      </c>
      <c r="E37" s="28">
        <f t="shared" si="4"/>
        <v>122852</v>
      </c>
      <c r="F37" s="28">
        <f t="shared" si="4"/>
        <v>98672</v>
      </c>
      <c r="G37" s="28">
        <f t="shared" si="4"/>
        <v>68067</v>
      </c>
      <c r="H37" s="28">
        <f t="shared" si="4"/>
        <v>98618</v>
      </c>
      <c r="I37" s="28">
        <f t="shared" si="4"/>
        <v>167445</v>
      </c>
      <c r="J37" s="28">
        <f t="shared" si="4"/>
        <v>32241</v>
      </c>
      <c r="K37" s="28">
        <f t="shared" si="4"/>
        <v>43888</v>
      </c>
      <c r="L37" s="28">
        <f t="shared" si="4"/>
        <v>71998</v>
      </c>
      <c r="M37" s="28">
        <f t="shared" si="4"/>
        <v>32497</v>
      </c>
      <c r="N37" s="28">
        <f t="shared" si="4"/>
        <v>54167</v>
      </c>
      <c r="O37" s="28">
        <f t="shared" si="4"/>
        <v>86208</v>
      </c>
      <c r="P37" s="28">
        <f t="shared" si="4"/>
        <v>12870</v>
      </c>
      <c r="Q37" s="28">
        <f t="shared" si="4"/>
        <v>30396</v>
      </c>
      <c r="R37" s="28">
        <f t="shared" si="4"/>
        <v>34402</v>
      </c>
      <c r="S37" s="28">
        <f t="shared" si="4"/>
        <v>39173</v>
      </c>
      <c r="T37" s="28">
        <f t="shared" si="4"/>
        <v>23251</v>
      </c>
      <c r="U37" s="28">
        <f t="shared" si="4"/>
        <v>45963</v>
      </c>
      <c r="V37" s="28">
        <f t="shared" si="4"/>
        <v>6569</v>
      </c>
      <c r="W37" s="28">
        <f t="shared" si="4"/>
        <v>10492</v>
      </c>
      <c r="X37" s="28">
        <f t="shared" si="4"/>
        <v>3715</v>
      </c>
      <c r="Y37" s="28">
        <f t="shared" si="4"/>
        <v>6512</v>
      </c>
      <c r="Z37" s="28">
        <f t="shared" si="4"/>
        <v>8905</v>
      </c>
      <c r="AA37" s="28">
        <f t="shared" si="4"/>
        <v>4215</v>
      </c>
      <c r="AB37" s="28">
        <f t="shared" si="4"/>
        <v>2249</v>
      </c>
      <c r="AC37" s="28">
        <f t="shared" si="4"/>
        <v>5695</v>
      </c>
      <c r="AD37" s="28">
        <f t="shared" si="4"/>
        <v>3049</v>
      </c>
      <c r="AE37" s="28">
        <f t="shared" si="4"/>
        <v>2320</v>
      </c>
      <c r="AF37" s="28">
        <f t="shared" si="4"/>
        <v>3525</v>
      </c>
      <c r="AG37" s="28">
        <f t="shared" si="4"/>
        <v>906</v>
      </c>
      <c r="AH37" s="28">
        <f t="shared" si="4"/>
        <v>3677</v>
      </c>
      <c r="AI37" s="28">
        <f t="shared" si="4"/>
        <v>1343</v>
      </c>
      <c r="AJ37" s="28">
        <f t="shared" si="4"/>
        <v>551</v>
      </c>
      <c r="AK37" s="28">
        <f t="shared" si="4"/>
        <v>101</v>
      </c>
      <c r="AL37" s="28">
        <f t="shared" si="4"/>
        <v>1850</v>
      </c>
      <c r="AM37" s="28">
        <f t="shared" si="4"/>
        <v>486</v>
      </c>
      <c r="AN37" s="28">
        <f t="shared" si="4"/>
        <v>76</v>
      </c>
      <c r="AO37" s="28">
        <f t="shared" si="4"/>
        <v>1641</v>
      </c>
      <c r="AP37" s="28">
        <f t="shared" si="4"/>
        <v>1622</v>
      </c>
      <c r="AQ37" s="28">
        <f t="shared" si="4"/>
        <v>0</v>
      </c>
      <c r="AR37" s="28"/>
      <c r="AS37" s="28">
        <f>SUM(AS32:AS36)</f>
        <v>1808052</v>
      </c>
    </row>
    <row r="38" spans="2:44" ht="12.75" customHeight="1">
      <c r="B38" s="19"/>
      <c r="C38" s="122"/>
      <c r="D38" s="122"/>
      <c r="E38" s="124"/>
      <c r="F38" s="124"/>
      <c r="G38" s="28"/>
      <c r="H38" s="124"/>
      <c r="I38" s="124"/>
      <c r="J38" s="122"/>
      <c r="K38" s="124"/>
      <c r="L38" s="124"/>
      <c r="M38" s="122"/>
      <c r="N38" s="122"/>
      <c r="O38" s="122"/>
      <c r="P38" s="122"/>
      <c r="Q38" s="122"/>
      <c r="R38" s="124"/>
      <c r="S38" s="122"/>
      <c r="T38" s="122"/>
      <c r="U38" s="122"/>
      <c r="V38" s="122"/>
      <c r="W38" s="124"/>
      <c r="X38" s="122"/>
      <c r="Y38" s="124"/>
      <c r="Z38" s="122"/>
      <c r="AA38" s="122"/>
      <c r="AB38" s="122"/>
      <c r="AC38" s="122"/>
      <c r="AD38" s="124"/>
      <c r="AE38" s="124"/>
      <c r="AF38" s="124"/>
      <c r="AG38" s="124"/>
      <c r="AH38" s="122"/>
      <c r="AI38" s="122"/>
      <c r="AJ38" s="124"/>
      <c r="AK38" s="124"/>
      <c r="AL38" s="124"/>
      <c r="AM38" s="124"/>
      <c r="AN38" s="124"/>
      <c r="AO38" s="124"/>
      <c r="AP38" s="124"/>
      <c r="AQ38" s="124"/>
      <c r="AR38" s="124"/>
    </row>
    <row r="39" spans="1:44" ht="12.75" customHeight="1">
      <c r="A39" s="4" t="s">
        <v>72</v>
      </c>
      <c r="B39" s="4"/>
      <c r="C39" s="122"/>
      <c r="D39" s="122"/>
      <c r="E39" s="124"/>
      <c r="F39" s="124"/>
      <c r="G39" s="28"/>
      <c r="H39" s="124"/>
      <c r="I39" s="124"/>
      <c r="J39" s="122"/>
      <c r="K39" s="124"/>
      <c r="L39" s="124"/>
      <c r="M39" s="122"/>
      <c r="N39" s="122"/>
      <c r="O39" s="122"/>
      <c r="P39" s="122"/>
      <c r="Q39" s="122"/>
      <c r="R39" s="124"/>
      <c r="S39" s="122"/>
      <c r="T39" s="122"/>
      <c r="U39" s="122"/>
      <c r="V39" s="122"/>
      <c r="W39" s="124"/>
      <c r="X39" s="122"/>
      <c r="Y39" s="124"/>
      <c r="Z39" s="122"/>
      <c r="AA39" s="122"/>
      <c r="AB39" s="122"/>
      <c r="AC39" s="122"/>
      <c r="AD39" s="124"/>
      <c r="AE39" s="124"/>
      <c r="AF39" s="124"/>
      <c r="AG39" s="124"/>
      <c r="AH39" s="122"/>
      <c r="AI39" s="122"/>
      <c r="AJ39" s="124"/>
      <c r="AK39" s="124"/>
      <c r="AL39" s="124"/>
      <c r="AM39" s="124"/>
      <c r="AN39" s="124"/>
      <c r="AO39" s="124"/>
      <c r="AP39" s="124"/>
      <c r="AQ39" s="124"/>
      <c r="AR39" s="124"/>
    </row>
    <row r="40" spans="1:45" ht="12.75" customHeight="1">
      <c r="A40" s="6" t="s">
        <v>66</v>
      </c>
      <c r="B40" s="6"/>
      <c r="C40" s="122">
        <v>226406</v>
      </c>
      <c r="D40" s="122">
        <v>187244</v>
      </c>
      <c r="E40" s="124">
        <v>228152</v>
      </c>
      <c r="F40" s="124">
        <v>98975</v>
      </c>
      <c r="G40" s="28">
        <v>85646</v>
      </c>
      <c r="H40" s="124">
        <v>120933</v>
      </c>
      <c r="I40" s="124">
        <v>79816</v>
      </c>
      <c r="J40" s="122">
        <v>34406</v>
      </c>
      <c r="K40" s="124">
        <v>59805</v>
      </c>
      <c r="L40" s="124">
        <v>81240</v>
      </c>
      <c r="M40" s="122">
        <v>47664</v>
      </c>
      <c r="N40" s="122">
        <v>28394</v>
      </c>
      <c r="O40" s="122">
        <v>45881</v>
      </c>
      <c r="P40" s="122">
        <v>50437</v>
      </c>
      <c r="Q40" s="122">
        <v>48299</v>
      </c>
      <c r="R40" s="124">
        <v>45078</v>
      </c>
      <c r="S40" s="122">
        <v>20083</v>
      </c>
      <c r="T40" s="122">
        <v>27112</v>
      </c>
      <c r="U40" s="122">
        <v>28552</v>
      </c>
      <c r="V40" s="122">
        <v>10718</v>
      </c>
      <c r="W40" s="122">
        <v>46786</v>
      </c>
      <c r="X40" s="124">
        <v>0</v>
      </c>
      <c r="Y40" s="122">
        <v>2121</v>
      </c>
      <c r="Z40" s="122">
        <v>5685</v>
      </c>
      <c r="AA40" s="122">
        <v>6500</v>
      </c>
      <c r="AB40" s="122">
        <v>913</v>
      </c>
      <c r="AC40" s="122">
        <v>716</v>
      </c>
      <c r="AD40" s="122">
        <v>3067</v>
      </c>
      <c r="AE40" s="122">
        <v>6882</v>
      </c>
      <c r="AF40" s="122">
        <v>8748</v>
      </c>
      <c r="AG40" s="122">
        <v>636</v>
      </c>
      <c r="AH40" s="122">
        <v>1443</v>
      </c>
      <c r="AI40" s="122">
        <v>2962</v>
      </c>
      <c r="AJ40" s="122">
        <v>994</v>
      </c>
      <c r="AK40" s="122">
        <v>589</v>
      </c>
      <c r="AL40" s="122">
        <v>1751</v>
      </c>
      <c r="AM40" s="122">
        <v>810</v>
      </c>
      <c r="AN40" s="122">
        <v>2748</v>
      </c>
      <c r="AO40" s="122">
        <v>1641</v>
      </c>
      <c r="AP40" s="122">
        <v>255</v>
      </c>
      <c r="AQ40" s="122">
        <v>908</v>
      </c>
      <c r="AR40" s="124"/>
      <c r="AS40" s="11">
        <f>SUM(C40:AQ40)</f>
        <v>1650996</v>
      </c>
    </row>
    <row r="41" spans="1:45" ht="12.75" customHeight="1">
      <c r="A41" s="6" t="s">
        <v>73</v>
      </c>
      <c r="B41" s="6"/>
      <c r="C41" s="122">
        <v>8014</v>
      </c>
      <c r="D41" s="122">
        <v>0</v>
      </c>
      <c r="E41" s="124">
        <v>0</v>
      </c>
      <c r="F41" s="124">
        <v>0</v>
      </c>
      <c r="G41" s="28">
        <v>0</v>
      </c>
      <c r="H41" s="124">
        <v>0</v>
      </c>
      <c r="I41" s="124">
        <v>0</v>
      </c>
      <c r="J41" s="122">
        <v>32950</v>
      </c>
      <c r="K41" s="124">
        <v>0</v>
      </c>
      <c r="L41" s="124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4">
        <v>0</v>
      </c>
      <c r="S41" s="122">
        <v>890</v>
      </c>
      <c r="T41" s="122">
        <v>0</v>
      </c>
      <c r="U41" s="122">
        <v>5964</v>
      </c>
      <c r="V41" s="124">
        <v>0</v>
      </c>
      <c r="W41" s="124">
        <v>0</v>
      </c>
      <c r="X41" s="124">
        <v>0</v>
      </c>
      <c r="Y41" s="122">
        <v>3665</v>
      </c>
      <c r="Z41" s="124">
        <v>0</v>
      </c>
      <c r="AA41" s="122">
        <v>0</v>
      </c>
      <c r="AB41" s="124">
        <v>0</v>
      </c>
      <c r="AC41" s="122">
        <v>0</v>
      </c>
      <c r="AD41" s="122">
        <v>2500</v>
      </c>
      <c r="AE41" s="124">
        <v>0</v>
      </c>
      <c r="AF41" s="122">
        <v>509</v>
      </c>
      <c r="AG41" s="122">
        <v>1738</v>
      </c>
      <c r="AH41" s="124">
        <v>0</v>
      </c>
      <c r="AI41" s="124">
        <v>0</v>
      </c>
      <c r="AJ41" s="124">
        <v>0</v>
      </c>
      <c r="AK41" s="122">
        <v>1504</v>
      </c>
      <c r="AL41" s="124">
        <v>0</v>
      </c>
      <c r="AM41" s="124">
        <v>0</v>
      </c>
      <c r="AN41" s="124">
        <v>0</v>
      </c>
      <c r="AO41" s="124">
        <v>0</v>
      </c>
      <c r="AP41" s="122">
        <v>465</v>
      </c>
      <c r="AQ41" s="122">
        <v>2588</v>
      </c>
      <c r="AR41" s="124"/>
      <c r="AS41" s="11">
        <f>SUM(C41:AQ41)</f>
        <v>60787</v>
      </c>
    </row>
    <row r="42" spans="1:45" ht="12.75" customHeight="1">
      <c r="A42" s="19" t="s">
        <v>416</v>
      </c>
      <c r="B42" s="12"/>
      <c r="C42" s="28">
        <f aca="true" t="shared" si="5" ref="C42:AQ42">SUM(C40:C41)</f>
        <v>234420</v>
      </c>
      <c r="D42" s="28">
        <f t="shared" si="5"/>
        <v>187244</v>
      </c>
      <c r="E42" s="28">
        <f t="shared" si="5"/>
        <v>228152</v>
      </c>
      <c r="F42" s="28">
        <f t="shared" si="5"/>
        <v>98975</v>
      </c>
      <c r="G42" s="28">
        <f t="shared" si="5"/>
        <v>85646</v>
      </c>
      <c r="H42" s="28">
        <f t="shared" si="5"/>
        <v>120933</v>
      </c>
      <c r="I42" s="28">
        <f t="shared" si="5"/>
        <v>79816</v>
      </c>
      <c r="J42" s="28">
        <f t="shared" si="5"/>
        <v>67356</v>
      </c>
      <c r="K42" s="28">
        <f t="shared" si="5"/>
        <v>59805</v>
      </c>
      <c r="L42" s="28">
        <f t="shared" si="5"/>
        <v>81240</v>
      </c>
      <c r="M42" s="28">
        <f t="shared" si="5"/>
        <v>47664</v>
      </c>
      <c r="N42" s="28">
        <f t="shared" si="5"/>
        <v>28394</v>
      </c>
      <c r="O42" s="28">
        <f t="shared" si="5"/>
        <v>45881</v>
      </c>
      <c r="P42" s="28">
        <f t="shared" si="5"/>
        <v>50437</v>
      </c>
      <c r="Q42" s="28">
        <f t="shared" si="5"/>
        <v>48299</v>
      </c>
      <c r="R42" s="28">
        <f t="shared" si="5"/>
        <v>45078</v>
      </c>
      <c r="S42" s="28">
        <f t="shared" si="5"/>
        <v>20973</v>
      </c>
      <c r="T42" s="28">
        <f t="shared" si="5"/>
        <v>27112</v>
      </c>
      <c r="U42" s="28">
        <f t="shared" si="5"/>
        <v>34516</v>
      </c>
      <c r="V42" s="28">
        <f t="shared" si="5"/>
        <v>10718</v>
      </c>
      <c r="W42" s="28">
        <f t="shared" si="5"/>
        <v>46786</v>
      </c>
      <c r="X42" s="28">
        <f t="shared" si="5"/>
        <v>0</v>
      </c>
      <c r="Y42" s="28">
        <f t="shared" si="5"/>
        <v>5786</v>
      </c>
      <c r="Z42" s="28">
        <f t="shared" si="5"/>
        <v>5685</v>
      </c>
      <c r="AA42" s="28">
        <f t="shared" si="5"/>
        <v>6500</v>
      </c>
      <c r="AB42" s="28">
        <f t="shared" si="5"/>
        <v>913</v>
      </c>
      <c r="AC42" s="28">
        <f t="shared" si="5"/>
        <v>716</v>
      </c>
      <c r="AD42" s="28">
        <f t="shared" si="5"/>
        <v>5567</v>
      </c>
      <c r="AE42" s="28">
        <f t="shared" si="5"/>
        <v>6882</v>
      </c>
      <c r="AF42" s="28">
        <f t="shared" si="5"/>
        <v>9257</v>
      </c>
      <c r="AG42" s="28">
        <f t="shared" si="5"/>
        <v>2374</v>
      </c>
      <c r="AH42" s="28">
        <f t="shared" si="5"/>
        <v>1443</v>
      </c>
      <c r="AI42" s="28">
        <f t="shared" si="5"/>
        <v>2962</v>
      </c>
      <c r="AJ42" s="28">
        <f t="shared" si="5"/>
        <v>994</v>
      </c>
      <c r="AK42" s="28">
        <f t="shared" si="5"/>
        <v>2093</v>
      </c>
      <c r="AL42" s="28">
        <f t="shared" si="5"/>
        <v>1751</v>
      </c>
      <c r="AM42" s="28">
        <f t="shared" si="5"/>
        <v>810</v>
      </c>
      <c r="AN42" s="28">
        <f t="shared" si="5"/>
        <v>2748</v>
      </c>
      <c r="AO42" s="28">
        <f t="shared" si="5"/>
        <v>1641</v>
      </c>
      <c r="AP42" s="28">
        <f t="shared" si="5"/>
        <v>720</v>
      </c>
      <c r="AQ42" s="28">
        <f t="shared" si="5"/>
        <v>3496</v>
      </c>
      <c r="AR42" s="28"/>
      <c r="AS42" s="28">
        <f>SUM(AS40:AS41)</f>
        <v>1711783</v>
      </c>
    </row>
    <row r="43" spans="2:44" ht="12.75" customHeight="1">
      <c r="B43" s="19"/>
      <c r="C43" s="122"/>
      <c r="D43" s="122"/>
      <c r="E43" s="124"/>
      <c r="F43" s="124"/>
      <c r="G43" s="28"/>
      <c r="H43" s="124"/>
      <c r="I43" s="124"/>
      <c r="J43" s="122"/>
      <c r="K43" s="124"/>
      <c r="L43" s="124"/>
      <c r="M43" s="122"/>
      <c r="N43" s="122"/>
      <c r="O43" s="122"/>
      <c r="P43" s="122"/>
      <c r="Q43" s="122"/>
      <c r="R43" s="124"/>
      <c r="S43" s="122"/>
      <c r="T43" s="122"/>
      <c r="U43" s="122"/>
      <c r="V43" s="124"/>
      <c r="W43" s="124"/>
      <c r="X43" s="124"/>
      <c r="Y43" s="122"/>
      <c r="Z43" s="124"/>
      <c r="AA43" s="122"/>
      <c r="AB43" s="124"/>
      <c r="AC43" s="122"/>
      <c r="AD43" s="122"/>
      <c r="AE43" s="124"/>
      <c r="AF43" s="122"/>
      <c r="AG43" s="122"/>
      <c r="AH43" s="124"/>
      <c r="AI43" s="124"/>
      <c r="AJ43" s="124"/>
      <c r="AK43" s="122"/>
      <c r="AL43" s="124"/>
      <c r="AM43" s="124"/>
      <c r="AN43" s="124"/>
      <c r="AO43" s="124"/>
      <c r="AP43" s="122"/>
      <c r="AQ43" s="122"/>
      <c r="AR43" s="124"/>
    </row>
    <row r="44" spans="1:45" ht="12.75" customHeight="1">
      <c r="A44" s="4" t="s">
        <v>74</v>
      </c>
      <c r="B44" s="4"/>
      <c r="C44" s="122">
        <v>0</v>
      </c>
      <c r="D44" s="122">
        <v>65299</v>
      </c>
      <c r="E44" s="124">
        <v>35843</v>
      </c>
      <c r="F44" s="124">
        <v>0</v>
      </c>
      <c r="G44" s="28">
        <v>0</v>
      </c>
      <c r="H44" s="124">
        <v>0</v>
      </c>
      <c r="I44" s="124">
        <v>0</v>
      </c>
      <c r="J44" s="122">
        <v>0</v>
      </c>
      <c r="K44" s="124">
        <v>17081</v>
      </c>
      <c r="L44" s="124">
        <v>6331</v>
      </c>
      <c r="M44" s="122">
        <v>0</v>
      </c>
      <c r="N44" s="122">
        <v>0</v>
      </c>
      <c r="O44" s="122">
        <v>14</v>
      </c>
      <c r="P44" s="122">
        <v>0</v>
      </c>
      <c r="Q44" s="122">
        <v>0</v>
      </c>
      <c r="R44" s="124">
        <v>0</v>
      </c>
      <c r="S44" s="124">
        <v>0</v>
      </c>
      <c r="T44" s="122">
        <v>0</v>
      </c>
      <c r="U44" s="122">
        <v>0</v>
      </c>
      <c r="V44" s="124">
        <v>0</v>
      </c>
      <c r="W44" s="124">
        <v>0</v>
      </c>
      <c r="X44" s="124">
        <v>0</v>
      </c>
      <c r="Y44" s="124">
        <v>0</v>
      </c>
      <c r="Z44" s="122">
        <v>2305</v>
      </c>
      <c r="AA44" s="122">
        <v>0</v>
      </c>
      <c r="AB44" s="124">
        <v>0</v>
      </c>
      <c r="AC44" s="122">
        <v>0</v>
      </c>
      <c r="AD44" s="122">
        <v>8615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/>
      <c r="AS44" s="11">
        <f>SUM(C44:AQ44)</f>
        <v>135488</v>
      </c>
    </row>
    <row r="45" spans="1:45" ht="12.75" customHeight="1">
      <c r="A45" s="12"/>
      <c r="B45" s="1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.75" customHeight="1">
      <c r="A46" s="4" t="s">
        <v>75</v>
      </c>
      <c r="B46" s="4"/>
      <c r="C46" s="122">
        <v>0</v>
      </c>
      <c r="D46" s="122">
        <v>0</v>
      </c>
      <c r="E46" s="124">
        <v>0</v>
      </c>
      <c r="F46" s="124">
        <v>0</v>
      </c>
      <c r="G46" s="28">
        <v>0</v>
      </c>
      <c r="H46" s="124">
        <v>0</v>
      </c>
      <c r="I46" s="124">
        <v>0</v>
      </c>
      <c r="J46" s="122">
        <v>0</v>
      </c>
      <c r="K46" s="124">
        <v>0</v>
      </c>
      <c r="L46" s="124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4">
        <v>0</v>
      </c>
      <c r="S46" s="124">
        <v>0</v>
      </c>
      <c r="T46" s="122">
        <v>0</v>
      </c>
      <c r="U46" s="122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2">
        <v>0</v>
      </c>
      <c r="AB46" s="124">
        <v>0</v>
      </c>
      <c r="AC46" s="122">
        <v>0</v>
      </c>
      <c r="AD46" s="124">
        <v>0</v>
      </c>
      <c r="AE46" s="124">
        <v>0</v>
      </c>
      <c r="AF46" s="124">
        <v>0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/>
      <c r="AS46" s="11">
        <f>SUM(C46:AQ46)</f>
        <v>0</v>
      </c>
    </row>
    <row r="47" spans="1:44" ht="12.75" customHeight="1">
      <c r="A47" s="12"/>
      <c r="B47" s="12"/>
      <c r="C47" s="122"/>
      <c r="D47" s="122"/>
      <c r="E47" s="124"/>
      <c r="F47" s="124"/>
      <c r="G47" s="28"/>
      <c r="H47" s="124"/>
      <c r="I47" s="124"/>
      <c r="J47" s="122"/>
      <c r="K47" s="124"/>
      <c r="L47" s="124"/>
      <c r="M47" s="122"/>
      <c r="N47" s="122"/>
      <c r="O47" s="122"/>
      <c r="P47" s="122"/>
      <c r="Q47" s="122"/>
      <c r="R47" s="124"/>
      <c r="S47" s="124"/>
      <c r="T47" s="122"/>
      <c r="U47" s="122"/>
      <c r="V47" s="124"/>
      <c r="W47" s="124"/>
      <c r="X47" s="124"/>
      <c r="Y47" s="124"/>
      <c r="Z47" s="124"/>
      <c r="AA47" s="122"/>
      <c r="AB47" s="124"/>
      <c r="AC47" s="122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</row>
    <row r="48" spans="1:44" ht="12.75" customHeight="1">
      <c r="A48" s="4" t="s">
        <v>76</v>
      </c>
      <c r="B48" s="4"/>
      <c r="C48" s="122"/>
      <c r="D48" s="122"/>
      <c r="E48" s="124"/>
      <c r="F48" s="124"/>
      <c r="G48" s="28"/>
      <c r="H48" s="124"/>
      <c r="I48" s="124"/>
      <c r="J48" s="122"/>
      <c r="K48" s="124"/>
      <c r="L48" s="124"/>
      <c r="M48" s="122"/>
      <c r="N48" s="122"/>
      <c r="O48" s="122"/>
      <c r="P48" s="122"/>
      <c r="Q48" s="122"/>
      <c r="R48" s="124"/>
      <c r="S48" s="124"/>
      <c r="T48" s="122"/>
      <c r="U48" s="122"/>
      <c r="V48" s="124"/>
      <c r="W48" s="124"/>
      <c r="X48" s="124"/>
      <c r="Y48" s="124"/>
      <c r="Z48" s="124"/>
      <c r="AA48" s="122"/>
      <c r="AB48" s="124"/>
      <c r="AC48" s="122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</row>
    <row r="49" spans="1:45" ht="12.75" customHeight="1">
      <c r="A49" s="4" t="s">
        <v>77</v>
      </c>
      <c r="B49" s="4"/>
      <c r="C49" s="28">
        <f aca="true" t="shared" si="6" ref="C49:AQ49">+C10-C17+C29-C37-C42+C44-C46</f>
        <v>54764492</v>
      </c>
      <c r="D49" s="28">
        <f t="shared" si="6"/>
        <v>49376450</v>
      </c>
      <c r="E49" s="28">
        <f t="shared" si="6"/>
        <v>34114920</v>
      </c>
      <c r="F49" s="28">
        <f t="shared" si="6"/>
        <v>16451009</v>
      </c>
      <c r="G49" s="28">
        <f t="shared" si="6"/>
        <v>18838308</v>
      </c>
      <c r="H49" s="28">
        <f t="shared" si="6"/>
        <v>12353903</v>
      </c>
      <c r="I49" s="28">
        <f t="shared" si="6"/>
        <v>11866891</v>
      </c>
      <c r="J49" s="28">
        <f t="shared" si="6"/>
        <v>8922623</v>
      </c>
      <c r="K49" s="28">
        <f t="shared" si="6"/>
        <v>9310065</v>
      </c>
      <c r="L49" s="28">
        <f t="shared" si="6"/>
        <v>9208507</v>
      </c>
      <c r="M49" s="28">
        <f t="shared" si="6"/>
        <v>6146600</v>
      </c>
      <c r="N49" s="28">
        <f t="shared" si="6"/>
        <v>5465230</v>
      </c>
      <c r="O49" s="28">
        <f t="shared" si="6"/>
        <v>5525001</v>
      </c>
      <c r="P49" s="28">
        <f t="shared" si="6"/>
        <v>3917030</v>
      </c>
      <c r="Q49" s="28">
        <f t="shared" si="6"/>
        <v>6189242</v>
      </c>
      <c r="R49" s="28">
        <f t="shared" si="6"/>
        <v>7512872</v>
      </c>
      <c r="S49" s="28">
        <f t="shared" si="6"/>
        <v>3605986</v>
      </c>
      <c r="T49" s="28">
        <f t="shared" si="6"/>
        <v>3828584</v>
      </c>
      <c r="U49" s="28">
        <f t="shared" si="6"/>
        <v>2669787</v>
      </c>
      <c r="V49" s="28">
        <f t="shared" si="6"/>
        <v>2357836</v>
      </c>
      <c r="W49" s="28">
        <f t="shared" si="6"/>
        <v>1717359</v>
      </c>
      <c r="X49" s="28">
        <f t="shared" si="6"/>
        <v>1186166</v>
      </c>
      <c r="Y49" s="28">
        <f t="shared" si="6"/>
        <v>798729</v>
      </c>
      <c r="Z49" s="28">
        <f t="shared" si="6"/>
        <v>553403</v>
      </c>
      <c r="AA49" s="28">
        <f t="shared" si="6"/>
        <v>295463</v>
      </c>
      <c r="AB49" s="28">
        <f t="shared" si="6"/>
        <v>250922</v>
      </c>
      <c r="AC49" s="28">
        <f t="shared" si="6"/>
        <v>403807</v>
      </c>
      <c r="AD49" s="28">
        <f t="shared" si="6"/>
        <v>328595</v>
      </c>
      <c r="AE49" s="28">
        <f t="shared" si="6"/>
        <v>233300</v>
      </c>
      <c r="AF49" s="28">
        <f t="shared" si="6"/>
        <v>327449</v>
      </c>
      <c r="AG49" s="28">
        <f t="shared" si="6"/>
        <v>169974</v>
      </c>
      <c r="AH49" s="28">
        <f t="shared" si="6"/>
        <v>94335</v>
      </c>
      <c r="AI49" s="28">
        <f t="shared" si="6"/>
        <v>118907</v>
      </c>
      <c r="AJ49" s="28">
        <f t="shared" si="6"/>
        <v>43969</v>
      </c>
      <c r="AK49" s="28">
        <f t="shared" si="6"/>
        <v>45502</v>
      </c>
      <c r="AL49" s="28">
        <f t="shared" si="6"/>
        <v>22756</v>
      </c>
      <c r="AM49" s="28">
        <f t="shared" si="6"/>
        <v>12354</v>
      </c>
      <c r="AN49" s="28">
        <f t="shared" si="6"/>
        <v>31539</v>
      </c>
      <c r="AO49" s="28">
        <f t="shared" si="6"/>
        <v>231285</v>
      </c>
      <c r="AP49" s="28">
        <f t="shared" si="6"/>
        <v>8637</v>
      </c>
      <c r="AQ49" s="28">
        <f t="shared" si="6"/>
        <v>-44296</v>
      </c>
      <c r="AR49" s="28"/>
      <c r="AS49" s="28">
        <f>+AS10-AS17+AS29-AS37-AS42+AS44-AS46</f>
        <v>279255491</v>
      </c>
    </row>
    <row r="50" spans="1:44" ht="12.75" customHeight="1">
      <c r="A50" s="12"/>
      <c r="B50" s="12"/>
      <c r="C50" s="122"/>
      <c r="D50" s="122"/>
      <c r="E50" s="124"/>
      <c r="F50" s="124"/>
      <c r="G50" s="28"/>
      <c r="H50" s="124"/>
      <c r="I50" s="124"/>
      <c r="J50" s="122"/>
      <c r="K50" s="124"/>
      <c r="L50" s="124"/>
      <c r="M50" s="122"/>
      <c r="N50" s="122"/>
      <c r="O50" s="122"/>
      <c r="P50" s="122"/>
      <c r="Q50" s="122"/>
      <c r="R50" s="124"/>
      <c r="S50" s="124"/>
      <c r="T50" s="122"/>
      <c r="U50" s="122"/>
      <c r="V50" s="124"/>
      <c r="W50" s="124"/>
      <c r="X50" s="124"/>
      <c r="Y50" s="124"/>
      <c r="Z50" s="124"/>
      <c r="AA50" s="122"/>
      <c r="AB50" s="124"/>
      <c r="AC50" s="122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</row>
    <row r="51" spans="1:45" ht="12.75" customHeight="1">
      <c r="A51" s="4" t="s">
        <v>78</v>
      </c>
      <c r="B51" s="4"/>
      <c r="C51" s="28">
        <f aca="true" t="shared" si="7" ref="C51:AQ51">+C52-C53</f>
        <v>0</v>
      </c>
      <c r="D51" s="28">
        <f t="shared" si="7"/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8">
        <f t="shared" si="7"/>
        <v>0</v>
      </c>
      <c r="O51" s="28">
        <f t="shared" si="7"/>
        <v>0</v>
      </c>
      <c r="P51" s="28">
        <f t="shared" si="7"/>
        <v>0</v>
      </c>
      <c r="Q51" s="28">
        <f t="shared" si="7"/>
        <v>0</v>
      </c>
      <c r="R51" s="28">
        <f t="shared" si="7"/>
        <v>0</v>
      </c>
      <c r="S51" s="28">
        <f t="shared" si="7"/>
        <v>0</v>
      </c>
      <c r="T51" s="28">
        <f t="shared" si="7"/>
        <v>0</v>
      </c>
      <c r="U51" s="28">
        <f t="shared" si="7"/>
        <v>0</v>
      </c>
      <c r="V51" s="28">
        <f t="shared" si="7"/>
        <v>0</v>
      </c>
      <c r="W51" s="28">
        <f t="shared" si="7"/>
        <v>0</v>
      </c>
      <c r="X51" s="28">
        <f t="shared" si="7"/>
        <v>0</v>
      </c>
      <c r="Y51" s="28">
        <f t="shared" si="7"/>
        <v>0</v>
      </c>
      <c r="Z51" s="28">
        <f t="shared" si="7"/>
        <v>0</v>
      </c>
      <c r="AA51" s="28">
        <f t="shared" si="7"/>
        <v>0</v>
      </c>
      <c r="AB51" s="28">
        <f t="shared" si="7"/>
        <v>0</v>
      </c>
      <c r="AC51" s="28">
        <f t="shared" si="7"/>
        <v>0</v>
      </c>
      <c r="AD51" s="28">
        <f t="shared" si="7"/>
        <v>0</v>
      </c>
      <c r="AE51" s="28">
        <f t="shared" si="7"/>
        <v>0</v>
      </c>
      <c r="AF51" s="28">
        <f t="shared" si="7"/>
        <v>0</v>
      </c>
      <c r="AG51" s="28">
        <f t="shared" si="7"/>
        <v>0</v>
      </c>
      <c r="AH51" s="28">
        <f t="shared" si="7"/>
        <v>0</v>
      </c>
      <c r="AI51" s="28">
        <f t="shared" si="7"/>
        <v>0</v>
      </c>
      <c r="AJ51" s="28">
        <f t="shared" si="7"/>
        <v>0</v>
      </c>
      <c r="AK51" s="28">
        <f t="shared" si="7"/>
        <v>0</v>
      </c>
      <c r="AL51" s="28">
        <f t="shared" si="7"/>
        <v>0</v>
      </c>
      <c r="AM51" s="28">
        <f t="shared" si="7"/>
        <v>0</v>
      </c>
      <c r="AN51" s="28">
        <f t="shared" si="7"/>
        <v>0</v>
      </c>
      <c r="AO51" s="28">
        <f t="shared" si="7"/>
        <v>0</v>
      </c>
      <c r="AP51" s="28">
        <f t="shared" si="7"/>
        <v>0</v>
      </c>
      <c r="AQ51" s="28">
        <f t="shared" si="7"/>
        <v>0</v>
      </c>
      <c r="AR51" s="28"/>
      <c r="AS51" s="28">
        <f>+AS52-AS53</f>
        <v>0</v>
      </c>
    </row>
    <row r="52" spans="1:45" ht="12.75" customHeight="1">
      <c r="A52" s="6" t="s">
        <v>79</v>
      </c>
      <c r="B52" s="6"/>
      <c r="C52" s="122">
        <v>0</v>
      </c>
      <c r="D52" s="122">
        <v>0</v>
      </c>
      <c r="E52" s="124">
        <v>0</v>
      </c>
      <c r="F52" s="124">
        <v>0</v>
      </c>
      <c r="G52" s="28">
        <v>0</v>
      </c>
      <c r="H52" s="124">
        <v>0</v>
      </c>
      <c r="I52" s="124">
        <v>0</v>
      </c>
      <c r="J52" s="122">
        <v>0</v>
      </c>
      <c r="K52" s="124">
        <v>0</v>
      </c>
      <c r="L52" s="124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4">
        <v>0</v>
      </c>
      <c r="S52" s="124">
        <v>0</v>
      </c>
      <c r="T52" s="122">
        <v>0</v>
      </c>
      <c r="U52" s="122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22">
        <v>0</v>
      </c>
      <c r="AB52" s="124">
        <v>0</v>
      </c>
      <c r="AC52" s="122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/>
      <c r="AS52" s="11">
        <f>SUM(C52:AQ52)</f>
        <v>0</v>
      </c>
    </row>
    <row r="53" spans="1:45" ht="12.75" customHeight="1">
      <c r="A53" s="6" t="s">
        <v>608</v>
      </c>
      <c r="B53" s="6"/>
      <c r="C53" s="122">
        <v>0</v>
      </c>
      <c r="D53" s="122">
        <v>0</v>
      </c>
      <c r="E53" s="124">
        <v>0</v>
      </c>
      <c r="F53" s="124">
        <v>0</v>
      </c>
      <c r="G53" s="28">
        <v>0</v>
      </c>
      <c r="H53" s="124">
        <v>0</v>
      </c>
      <c r="I53" s="124">
        <v>0</v>
      </c>
      <c r="J53" s="122">
        <v>0</v>
      </c>
      <c r="K53" s="124">
        <v>0</v>
      </c>
      <c r="L53" s="124">
        <v>0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4">
        <v>0</v>
      </c>
      <c r="S53" s="124">
        <v>0</v>
      </c>
      <c r="T53" s="122">
        <v>0</v>
      </c>
      <c r="U53" s="122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2">
        <v>0</v>
      </c>
      <c r="AB53" s="124">
        <v>0</v>
      </c>
      <c r="AC53" s="122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0</v>
      </c>
      <c r="AK53" s="124">
        <v>0</v>
      </c>
      <c r="AL53" s="124">
        <v>0</v>
      </c>
      <c r="AM53" s="124">
        <v>0</v>
      </c>
      <c r="AN53" s="124">
        <v>0</v>
      </c>
      <c r="AO53" s="124">
        <v>0</v>
      </c>
      <c r="AP53" s="124">
        <v>0</v>
      </c>
      <c r="AQ53" s="124">
        <v>0</v>
      </c>
      <c r="AR53" s="124"/>
      <c r="AS53" s="11">
        <f>SUM(C53:AQ53)</f>
        <v>0</v>
      </c>
    </row>
    <row r="54" spans="1:44" ht="12.75" customHeight="1">
      <c r="A54" s="4"/>
      <c r="B54" s="4"/>
      <c r="C54" s="122"/>
      <c r="D54" s="122"/>
      <c r="E54" s="124"/>
      <c r="F54" s="124"/>
      <c r="G54" s="28"/>
      <c r="H54" s="124"/>
      <c r="I54" s="124"/>
      <c r="J54" s="122"/>
      <c r="K54" s="124"/>
      <c r="L54" s="124"/>
      <c r="M54" s="122"/>
      <c r="N54" s="122"/>
      <c r="O54" s="122"/>
      <c r="P54" s="122"/>
      <c r="Q54" s="122"/>
      <c r="R54" s="124"/>
      <c r="S54" s="124"/>
      <c r="T54" s="122"/>
      <c r="U54" s="122"/>
      <c r="V54" s="124"/>
      <c r="W54" s="124"/>
      <c r="X54" s="124"/>
      <c r="Y54" s="124"/>
      <c r="Z54" s="124"/>
      <c r="AA54" s="122"/>
      <c r="AB54" s="124"/>
      <c r="AC54" s="122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</row>
    <row r="55" spans="1:45" ht="12.75" customHeight="1">
      <c r="A55" s="4" t="s">
        <v>80</v>
      </c>
      <c r="B55" s="4"/>
      <c r="C55" s="122">
        <v>0</v>
      </c>
      <c r="D55" s="122">
        <v>0</v>
      </c>
      <c r="E55" s="124">
        <v>0</v>
      </c>
      <c r="F55" s="124">
        <v>0</v>
      </c>
      <c r="G55" s="28">
        <v>0</v>
      </c>
      <c r="H55" s="124">
        <v>0</v>
      </c>
      <c r="I55" s="124">
        <v>0</v>
      </c>
      <c r="J55" s="122">
        <v>0</v>
      </c>
      <c r="K55" s="124">
        <v>0</v>
      </c>
      <c r="L55" s="124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4">
        <v>0</v>
      </c>
      <c r="S55" s="124">
        <v>0</v>
      </c>
      <c r="T55" s="122">
        <v>0</v>
      </c>
      <c r="U55" s="122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2">
        <v>0</v>
      </c>
      <c r="AB55" s="124">
        <v>0</v>
      </c>
      <c r="AC55" s="122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/>
      <c r="AS55" s="11">
        <f>SUM(C55:AQ55)</f>
        <v>0</v>
      </c>
    </row>
    <row r="56" spans="1:44" ht="12.75" customHeight="1">
      <c r="A56" s="4"/>
      <c r="B56" s="4"/>
      <c r="C56" s="122"/>
      <c r="D56" s="122"/>
      <c r="E56" s="124"/>
      <c r="F56" s="124"/>
      <c r="G56" s="28"/>
      <c r="H56" s="124"/>
      <c r="I56" s="124"/>
      <c r="J56" s="122"/>
      <c r="K56" s="124"/>
      <c r="L56" s="124"/>
      <c r="M56" s="122"/>
      <c r="N56" s="122"/>
      <c r="O56" s="122"/>
      <c r="P56" s="122"/>
      <c r="Q56" s="122"/>
      <c r="R56" s="124"/>
      <c r="S56" s="124"/>
      <c r="T56" s="122"/>
      <c r="U56" s="122"/>
      <c r="V56" s="124"/>
      <c r="W56" s="124"/>
      <c r="X56" s="124"/>
      <c r="Y56" s="124"/>
      <c r="Z56" s="124"/>
      <c r="AA56" s="122"/>
      <c r="AB56" s="124"/>
      <c r="AC56" s="122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</row>
    <row r="57" spans="1:45" ht="12.75" customHeight="1">
      <c r="A57" s="4" t="s">
        <v>81</v>
      </c>
      <c r="B57" s="4"/>
      <c r="C57" s="28">
        <f aca="true" t="shared" si="8" ref="C57:AQ57">+C49+C51</f>
        <v>54764492</v>
      </c>
      <c r="D57" s="28">
        <f t="shared" si="8"/>
        <v>49376450</v>
      </c>
      <c r="E57" s="28">
        <f t="shared" si="8"/>
        <v>34114920</v>
      </c>
      <c r="F57" s="28">
        <f t="shared" si="8"/>
        <v>16451009</v>
      </c>
      <c r="G57" s="28">
        <f t="shared" si="8"/>
        <v>18838308</v>
      </c>
      <c r="H57" s="28">
        <f t="shared" si="8"/>
        <v>12353903</v>
      </c>
      <c r="I57" s="28">
        <f t="shared" si="8"/>
        <v>11866891</v>
      </c>
      <c r="J57" s="28">
        <f t="shared" si="8"/>
        <v>8922623</v>
      </c>
      <c r="K57" s="28">
        <f t="shared" si="8"/>
        <v>9310065</v>
      </c>
      <c r="L57" s="28">
        <f t="shared" si="8"/>
        <v>9208507</v>
      </c>
      <c r="M57" s="28">
        <f t="shared" si="8"/>
        <v>6146600</v>
      </c>
      <c r="N57" s="28">
        <f t="shared" si="8"/>
        <v>5465230</v>
      </c>
      <c r="O57" s="28">
        <f t="shared" si="8"/>
        <v>5525001</v>
      </c>
      <c r="P57" s="28">
        <f t="shared" si="8"/>
        <v>3917030</v>
      </c>
      <c r="Q57" s="28">
        <f t="shared" si="8"/>
        <v>6189242</v>
      </c>
      <c r="R57" s="28">
        <f t="shared" si="8"/>
        <v>7512872</v>
      </c>
      <c r="S57" s="28">
        <f t="shared" si="8"/>
        <v>3605986</v>
      </c>
      <c r="T57" s="28">
        <f t="shared" si="8"/>
        <v>3828584</v>
      </c>
      <c r="U57" s="28">
        <f t="shared" si="8"/>
        <v>2669787</v>
      </c>
      <c r="V57" s="28">
        <f t="shared" si="8"/>
        <v>2357836</v>
      </c>
      <c r="W57" s="28">
        <f t="shared" si="8"/>
        <v>1717359</v>
      </c>
      <c r="X57" s="28">
        <f t="shared" si="8"/>
        <v>1186166</v>
      </c>
      <c r="Y57" s="28">
        <f t="shared" si="8"/>
        <v>798729</v>
      </c>
      <c r="Z57" s="28">
        <f t="shared" si="8"/>
        <v>553403</v>
      </c>
      <c r="AA57" s="28">
        <f t="shared" si="8"/>
        <v>295463</v>
      </c>
      <c r="AB57" s="28">
        <f t="shared" si="8"/>
        <v>250922</v>
      </c>
      <c r="AC57" s="28">
        <f t="shared" si="8"/>
        <v>403807</v>
      </c>
      <c r="AD57" s="28">
        <f t="shared" si="8"/>
        <v>328595</v>
      </c>
      <c r="AE57" s="28">
        <f t="shared" si="8"/>
        <v>233300</v>
      </c>
      <c r="AF57" s="28">
        <f t="shared" si="8"/>
        <v>327449</v>
      </c>
      <c r="AG57" s="28">
        <f t="shared" si="8"/>
        <v>169974</v>
      </c>
      <c r="AH57" s="28">
        <f t="shared" si="8"/>
        <v>94335</v>
      </c>
      <c r="AI57" s="28">
        <f t="shared" si="8"/>
        <v>118907</v>
      </c>
      <c r="AJ57" s="28">
        <f t="shared" si="8"/>
        <v>43969</v>
      </c>
      <c r="AK57" s="28">
        <f t="shared" si="8"/>
        <v>45502</v>
      </c>
      <c r="AL57" s="28">
        <f t="shared" si="8"/>
        <v>22756</v>
      </c>
      <c r="AM57" s="28">
        <f t="shared" si="8"/>
        <v>12354</v>
      </c>
      <c r="AN57" s="28">
        <f t="shared" si="8"/>
        <v>31539</v>
      </c>
      <c r="AO57" s="28">
        <f t="shared" si="8"/>
        <v>231285</v>
      </c>
      <c r="AP57" s="28">
        <f t="shared" si="8"/>
        <v>8637</v>
      </c>
      <c r="AQ57" s="28">
        <f t="shared" si="8"/>
        <v>-44296</v>
      </c>
      <c r="AR57" s="28"/>
      <c r="AS57" s="28">
        <f>+AS49+AS51</f>
        <v>279255491</v>
      </c>
    </row>
    <row r="58" spans="1:44" ht="12.75" customHeight="1">
      <c r="A58" s="12"/>
      <c r="B58" s="12"/>
      <c r="C58" s="122"/>
      <c r="D58" s="122"/>
      <c r="E58" s="124"/>
      <c r="F58" s="124"/>
      <c r="G58" s="28"/>
      <c r="H58" s="124"/>
      <c r="I58" s="124"/>
      <c r="J58" s="122"/>
      <c r="K58" s="124"/>
      <c r="L58" s="124"/>
      <c r="M58" s="122"/>
      <c r="N58" s="122"/>
      <c r="O58" s="122"/>
      <c r="P58" s="122"/>
      <c r="Q58" s="122"/>
      <c r="R58" s="124"/>
      <c r="S58" s="124"/>
      <c r="T58" s="122"/>
      <c r="U58" s="122"/>
      <c r="V58" s="124"/>
      <c r="W58" s="124"/>
      <c r="X58" s="124"/>
      <c r="Y58" s="124"/>
      <c r="Z58" s="124"/>
      <c r="AA58" s="122"/>
      <c r="AB58" s="124"/>
      <c r="AC58" s="122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</row>
    <row r="59" spans="1:45" ht="12.75" customHeight="1">
      <c r="A59" s="4" t="s">
        <v>82</v>
      </c>
      <c r="B59" s="4"/>
      <c r="C59" s="122">
        <v>227495433</v>
      </c>
      <c r="D59" s="122">
        <v>190972438</v>
      </c>
      <c r="E59" s="124">
        <v>181296356</v>
      </c>
      <c r="F59" s="124">
        <v>71921992</v>
      </c>
      <c r="G59" s="28">
        <v>64404243</v>
      </c>
      <c r="H59" s="124">
        <v>62356312</v>
      </c>
      <c r="I59" s="124">
        <v>47747037</v>
      </c>
      <c r="J59" s="122">
        <v>47509108</v>
      </c>
      <c r="K59" s="124">
        <v>41614573</v>
      </c>
      <c r="L59" s="124">
        <v>39425796</v>
      </c>
      <c r="M59" s="122">
        <v>28673189</v>
      </c>
      <c r="N59" s="122">
        <v>21992914</v>
      </c>
      <c r="O59" s="122">
        <v>21693310</v>
      </c>
      <c r="P59" s="122">
        <v>22051329</v>
      </c>
      <c r="Q59" s="122">
        <v>16680003</v>
      </c>
      <c r="R59" s="124">
        <v>14917673</v>
      </c>
      <c r="S59" s="122">
        <v>18541820</v>
      </c>
      <c r="T59" s="122">
        <v>17776933</v>
      </c>
      <c r="U59" s="122">
        <v>18235581</v>
      </c>
      <c r="V59" s="122">
        <v>11730153</v>
      </c>
      <c r="W59" s="122">
        <v>11462020</v>
      </c>
      <c r="X59" s="122">
        <v>10679590</v>
      </c>
      <c r="Y59" s="122">
        <v>6265271</v>
      </c>
      <c r="Z59" s="122">
        <v>3328634</v>
      </c>
      <c r="AA59" s="122">
        <v>3518681</v>
      </c>
      <c r="AB59" s="122">
        <v>2635240</v>
      </c>
      <c r="AC59" s="122">
        <v>2138225</v>
      </c>
      <c r="AD59" s="122">
        <v>2063521</v>
      </c>
      <c r="AE59" s="122">
        <v>2144938</v>
      </c>
      <c r="AF59" s="122">
        <v>1859531</v>
      </c>
      <c r="AG59" s="122">
        <v>1596326</v>
      </c>
      <c r="AH59" s="122">
        <v>1030489</v>
      </c>
      <c r="AI59" s="122">
        <v>681958</v>
      </c>
      <c r="AJ59" s="122">
        <v>733214</v>
      </c>
      <c r="AK59" s="122">
        <v>647775</v>
      </c>
      <c r="AL59" s="122">
        <v>514859</v>
      </c>
      <c r="AM59" s="122">
        <v>457851</v>
      </c>
      <c r="AN59" s="122">
        <v>419890</v>
      </c>
      <c r="AO59" s="122">
        <v>212580</v>
      </c>
      <c r="AP59" s="122">
        <v>55886</v>
      </c>
      <c r="AQ59" s="122">
        <v>71767</v>
      </c>
      <c r="AR59" s="124"/>
      <c r="AS59" s="11">
        <f>SUM(C59:AQ59)</f>
        <v>1219554439</v>
      </c>
    </row>
    <row r="60" spans="1:44" ht="12.75" customHeight="1">
      <c r="A60" s="4"/>
      <c r="B60" s="4"/>
      <c r="C60" s="122"/>
      <c r="D60" s="122"/>
      <c r="E60" s="124"/>
      <c r="F60" s="124"/>
      <c r="G60" s="28"/>
      <c r="H60" s="124"/>
      <c r="I60" s="124"/>
      <c r="J60" s="122"/>
      <c r="K60" s="124"/>
      <c r="L60" s="124"/>
      <c r="M60" s="122"/>
      <c r="N60" s="122"/>
      <c r="O60" s="122"/>
      <c r="P60" s="122"/>
      <c r="Q60" s="122"/>
      <c r="R60" s="124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4"/>
    </row>
    <row r="61" spans="1:44" ht="12.75" customHeight="1">
      <c r="A61" s="4" t="s">
        <v>417</v>
      </c>
      <c r="B61" s="4"/>
      <c r="C61" s="122"/>
      <c r="D61" s="122"/>
      <c r="E61" s="124"/>
      <c r="F61" s="124"/>
      <c r="G61" s="28"/>
      <c r="H61" s="124"/>
      <c r="I61" s="124"/>
      <c r="J61" s="122"/>
      <c r="K61" s="124"/>
      <c r="L61" s="124"/>
      <c r="M61" s="122"/>
      <c r="N61" s="122"/>
      <c r="O61" s="122"/>
      <c r="P61" s="122"/>
      <c r="Q61" s="122"/>
      <c r="R61" s="12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4"/>
    </row>
    <row r="62" spans="1:45" ht="12.75" customHeight="1">
      <c r="A62" s="4" t="s">
        <v>418</v>
      </c>
      <c r="B62" s="4"/>
      <c r="C62" s="28">
        <f aca="true" t="shared" si="9" ref="C62:AQ62">+C57+C59</f>
        <v>282259925</v>
      </c>
      <c r="D62" s="28">
        <f t="shared" si="9"/>
        <v>240348888</v>
      </c>
      <c r="E62" s="28">
        <f t="shared" si="9"/>
        <v>215411276</v>
      </c>
      <c r="F62" s="28">
        <f t="shared" si="9"/>
        <v>88373001</v>
      </c>
      <c r="G62" s="28">
        <f t="shared" si="9"/>
        <v>83242551</v>
      </c>
      <c r="H62" s="28">
        <f t="shared" si="9"/>
        <v>74710215</v>
      </c>
      <c r="I62" s="28">
        <f t="shared" si="9"/>
        <v>59613928</v>
      </c>
      <c r="J62" s="28">
        <f t="shared" si="9"/>
        <v>56431731</v>
      </c>
      <c r="K62" s="28">
        <f t="shared" si="9"/>
        <v>50924638</v>
      </c>
      <c r="L62" s="28">
        <f t="shared" si="9"/>
        <v>48634303</v>
      </c>
      <c r="M62" s="28">
        <f t="shared" si="9"/>
        <v>34819789</v>
      </c>
      <c r="N62" s="28">
        <f t="shared" si="9"/>
        <v>27458144</v>
      </c>
      <c r="O62" s="28">
        <f t="shared" si="9"/>
        <v>27218311</v>
      </c>
      <c r="P62" s="28">
        <f t="shared" si="9"/>
        <v>25968359</v>
      </c>
      <c r="Q62" s="28">
        <f t="shared" si="9"/>
        <v>22869245</v>
      </c>
      <c r="R62" s="28">
        <f t="shared" si="9"/>
        <v>22430545</v>
      </c>
      <c r="S62" s="28">
        <f t="shared" si="9"/>
        <v>22147806</v>
      </c>
      <c r="T62" s="28">
        <f t="shared" si="9"/>
        <v>21605517</v>
      </c>
      <c r="U62" s="28">
        <f t="shared" si="9"/>
        <v>20905368</v>
      </c>
      <c r="V62" s="28">
        <f t="shared" si="9"/>
        <v>14087989</v>
      </c>
      <c r="W62" s="28">
        <f t="shared" si="9"/>
        <v>13179379</v>
      </c>
      <c r="X62" s="28">
        <f t="shared" si="9"/>
        <v>11865756</v>
      </c>
      <c r="Y62" s="28">
        <f t="shared" si="9"/>
        <v>7064000</v>
      </c>
      <c r="Z62" s="28">
        <f t="shared" si="9"/>
        <v>3882037</v>
      </c>
      <c r="AA62" s="28">
        <f t="shared" si="9"/>
        <v>3814144</v>
      </c>
      <c r="AB62" s="28">
        <f t="shared" si="9"/>
        <v>2886162</v>
      </c>
      <c r="AC62" s="28">
        <f t="shared" si="9"/>
        <v>2542032</v>
      </c>
      <c r="AD62" s="28">
        <f t="shared" si="9"/>
        <v>2392116</v>
      </c>
      <c r="AE62" s="28">
        <f t="shared" si="9"/>
        <v>2378238</v>
      </c>
      <c r="AF62" s="28">
        <f t="shared" si="9"/>
        <v>2186980</v>
      </c>
      <c r="AG62" s="28">
        <f t="shared" si="9"/>
        <v>1766300</v>
      </c>
      <c r="AH62" s="28">
        <f t="shared" si="9"/>
        <v>1124824</v>
      </c>
      <c r="AI62" s="28">
        <f t="shared" si="9"/>
        <v>800865</v>
      </c>
      <c r="AJ62" s="28">
        <f t="shared" si="9"/>
        <v>777183</v>
      </c>
      <c r="AK62" s="28">
        <f t="shared" si="9"/>
        <v>693277</v>
      </c>
      <c r="AL62" s="28">
        <f t="shared" si="9"/>
        <v>537615</v>
      </c>
      <c r="AM62" s="28">
        <f t="shared" si="9"/>
        <v>470205</v>
      </c>
      <c r="AN62" s="28">
        <f t="shared" si="9"/>
        <v>451429</v>
      </c>
      <c r="AO62" s="28">
        <f t="shared" si="9"/>
        <v>443865</v>
      </c>
      <c r="AP62" s="28">
        <f t="shared" si="9"/>
        <v>64523</v>
      </c>
      <c r="AQ62" s="28">
        <f t="shared" si="9"/>
        <v>27471</v>
      </c>
      <c r="AR62" s="28"/>
      <c r="AS62" s="11">
        <f>SUM(C62:AQ62)</f>
        <v>1498809930</v>
      </c>
    </row>
    <row r="63" spans="5:43" ht="12.75" customHeight="1">
      <c r="E63" s="15"/>
      <c r="I63" s="15"/>
      <c r="J63" s="15"/>
      <c r="L63" s="15"/>
      <c r="M63" s="15"/>
      <c r="N63" s="15"/>
      <c r="R63" s="15"/>
      <c r="S63" s="15"/>
      <c r="U63" s="15"/>
      <c r="V63" s="15"/>
      <c r="Y63" s="15"/>
      <c r="Z63" s="11"/>
      <c r="AA63" s="122"/>
      <c r="AB63" s="15"/>
      <c r="AF63" s="15"/>
      <c r="AG63" s="15"/>
      <c r="AH63" s="15"/>
      <c r="AI63" s="15"/>
      <c r="AJ63" s="15"/>
      <c r="AK63" s="15"/>
      <c r="AO63" s="15"/>
      <c r="AQ63" s="15"/>
    </row>
    <row r="64" spans="5:43" ht="12.75" customHeight="1">
      <c r="E64" s="12"/>
      <c r="I64" s="12"/>
      <c r="J64" s="12"/>
      <c r="L64" s="12"/>
      <c r="M64" s="12"/>
      <c r="N64" s="12"/>
      <c r="R64" s="12"/>
      <c r="S64" s="12"/>
      <c r="U64" s="12"/>
      <c r="V64" s="12"/>
      <c r="Y64" s="12"/>
      <c r="Z64" s="11"/>
      <c r="AA64" s="12"/>
      <c r="AB64" s="12"/>
      <c r="AF64" s="12"/>
      <c r="AG64" s="12"/>
      <c r="AH64" s="12"/>
      <c r="AI64" s="12"/>
      <c r="AJ64" s="12"/>
      <c r="AK64" s="12"/>
      <c r="AO64" s="12"/>
      <c r="AQ64" s="12"/>
    </row>
    <row r="65" ht="12.75" customHeight="1">
      <c r="Z65" s="11"/>
    </row>
    <row r="66" ht="12.75" customHeight="1">
      <c r="Z66" s="11"/>
    </row>
    <row r="67" spans="5:43" ht="12.75" customHeight="1">
      <c r="E67" s="15"/>
      <c r="I67" s="15"/>
      <c r="J67" s="15"/>
      <c r="L67" s="15"/>
      <c r="M67" s="15"/>
      <c r="N67" s="15"/>
      <c r="R67" s="15"/>
      <c r="S67" s="15"/>
      <c r="U67" s="15"/>
      <c r="V67" s="15"/>
      <c r="Y67" s="15"/>
      <c r="Z67" s="11"/>
      <c r="AA67" s="15"/>
      <c r="AB67" s="15"/>
      <c r="AF67" s="15"/>
      <c r="AG67" s="15"/>
      <c r="AH67" s="15"/>
      <c r="AI67" s="15"/>
      <c r="AJ67" s="15"/>
      <c r="AK67" s="15"/>
      <c r="AO67" s="15"/>
      <c r="AQ67" s="15"/>
    </row>
    <row r="68" spans="5:43" ht="12.75" customHeight="1">
      <c r="E68" s="15"/>
      <c r="I68" s="15"/>
      <c r="J68" s="15"/>
      <c r="L68" s="15"/>
      <c r="M68" s="15"/>
      <c r="N68" s="15"/>
      <c r="R68" s="15"/>
      <c r="S68" s="15"/>
      <c r="U68" s="15"/>
      <c r="V68" s="15"/>
      <c r="Y68" s="15"/>
      <c r="Z68" s="11"/>
      <c r="AA68" s="15"/>
      <c r="AB68" s="15"/>
      <c r="AF68" s="15"/>
      <c r="AG68" s="15"/>
      <c r="AH68" s="15"/>
      <c r="AI68" s="15"/>
      <c r="AJ68" s="15"/>
      <c r="AK68" s="15"/>
      <c r="AO68" s="15"/>
      <c r="AQ68" s="15"/>
    </row>
    <row r="69" spans="5:43" ht="12.75" customHeight="1">
      <c r="E69" s="15"/>
      <c r="I69" s="15"/>
      <c r="J69" s="15"/>
      <c r="L69" s="15"/>
      <c r="M69" s="15"/>
      <c r="N69" s="15"/>
      <c r="R69" s="15"/>
      <c r="S69" s="15"/>
      <c r="U69" s="15"/>
      <c r="V69" s="15"/>
      <c r="Y69" s="15"/>
      <c r="Z69" s="11"/>
      <c r="AA69" s="15"/>
      <c r="AB69" s="15"/>
      <c r="AF69" s="15"/>
      <c r="AG69" s="15"/>
      <c r="AH69" s="15"/>
      <c r="AI69" s="15"/>
      <c r="AJ69" s="15"/>
      <c r="AK69" s="15"/>
      <c r="AO69" s="15"/>
      <c r="AQ69" s="15"/>
    </row>
    <row r="70" spans="5:43" ht="12.75" customHeight="1">
      <c r="E70" s="15"/>
      <c r="I70" s="15"/>
      <c r="J70" s="15"/>
      <c r="L70" s="15"/>
      <c r="M70" s="15"/>
      <c r="N70" s="15"/>
      <c r="R70" s="15"/>
      <c r="S70" s="15"/>
      <c r="U70" s="15"/>
      <c r="V70" s="15"/>
      <c r="Y70" s="15"/>
      <c r="Z70" s="11"/>
      <c r="AA70" s="15"/>
      <c r="AB70" s="15"/>
      <c r="AF70" s="15"/>
      <c r="AG70" s="15"/>
      <c r="AH70" s="15"/>
      <c r="AI70" s="15"/>
      <c r="AJ70" s="15"/>
      <c r="AK70" s="15"/>
      <c r="AO70" s="15"/>
      <c r="AQ70" s="15"/>
    </row>
    <row r="71" spans="5:43" ht="12.75" customHeight="1">
      <c r="E71" s="15"/>
      <c r="I71" s="15"/>
      <c r="J71" s="15"/>
      <c r="L71" s="15"/>
      <c r="M71" s="15"/>
      <c r="N71" s="15"/>
      <c r="R71" s="15"/>
      <c r="S71" s="15"/>
      <c r="U71" s="15"/>
      <c r="V71" s="15"/>
      <c r="Y71" s="15"/>
      <c r="Z71" s="11"/>
      <c r="AA71" s="15"/>
      <c r="AB71" s="15"/>
      <c r="AF71" s="15"/>
      <c r="AG71" s="15"/>
      <c r="AH71" s="15"/>
      <c r="AI71" s="15"/>
      <c r="AJ71" s="15"/>
      <c r="AK71" s="15"/>
      <c r="AO71" s="15"/>
      <c r="AQ71" s="15"/>
    </row>
    <row r="72" spans="22:26" ht="12.75" customHeight="1">
      <c r="V72" s="12"/>
      <c r="Z72" s="11"/>
    </row>
    <row r="73" spans="5:43" ht="12.75" customHeight="1">
      <c r="E73" s="12"/>
      <c r="I73" s="12"/>
      <c r="J73" s="12"/>
      <c r="L73" s="12"/>
      <c r="M73" s="12"/>
      <c r="N73" s="12"/>
      <c r="R73" s="12"/>
      <c r="S73" s="12"/>
      <c r="U73" s="12"/>
      <c r="V73" s="12"/>
      <c r="Y73" s="12"/>
      <c r="Z73" s="11"/>
      <c r="AA73" s="12"/>
      <c r="AB73" s="12"/>
      <c r="AF73" s="12"/>
      <c r="AG73" s="12"/>
      <c r="AH73" s="12"/>
      <c r="AI73" s="12"/>
      <c r="AJ73" s="12"/>
      <c r="AK73" s="12"/>
      <c r="AO73" s="12"/>
      <c r="AQ73" s="12"/>
    </row>
    <row r="74" ht="12.75" customHeight="1">
      <c r="Z74" s="11"/>
    </row>
    <row r="75" spans="22:26" ht="12.75" customHeight="1">
      <c r="V75" s="15"/>
      <c r="Z75" s="11"/>
    </row>
    <row r="76" spans="5:43" ht="12.75" customHeight="1">
      <c r="E76" s="15"/>
      <c r="I76" s="15"/>
      <c r="J76" s="15"/>
      <c r="L76" s="15"/>
      <c r="M76" s="15"/>
      <c r="N76" s="15"/>
      <c r="R76" s="15"/>
      <c r="S76" s="15"/>
      <c r="U76" s="15"/>
      <c r="V76" s="15"/>
      <c r="Y76" s="15"/>
      <c r="Z76" s="11"/>
      <c r="AA76" s="15"/>
      <c r="AB76" s="15"/>
      <c r="AF76" s="15"/>
      <c r="AG76" s="15"/>
      <c r="AH76" s="15"/>
      <c r="AI76" s="15"/>
      <c r="AJ76" s="15"/>
      <c r="AK76" s="15"/>
      <c r="AO76" s="15"/>
      <c r="AQ76" s="15"/>
    </row>
    <row r="77" spans="5:46" ht="12.75" customHeight="1">
      <c r="E77" s="15"/>
      <c r="I77" s="15"/>
      <c r="J77" s="15"/>
      <c r="L77" s="15"/>
      <c r="M77" s="15"/>
      <c r="N77" s="15"/>
      <c r="R77" s="15"/>
      <c r="S77" s="15"/>
      <c r="U77" s="15"/>
      <c r="V77" s="15"/>
      <c r="Y77" s="15"/>
      <c r="Z77" s="11"/>
      <c r="AA77" s="15"/>
      <c r="AB77" s="15"/>
      <c r="AF77" s="15"/>
      <c r="AG77" s="15"/>
      <c r="AH77" s="15"/>
      <c r="AI77" s="15"/>
      <c r="AJ77" s="15"/>
      <c r="AK77" s="15"/>
      <c r="AO77" s="15"/>
      <c r="AQ77" s="15"/>
      <c r="AT77" s="134"/>
    </row>
    <row r="78" spans="22:26" ht="12.75" customHeight="1">
      <c r="V78" s="12"/>
      <c r="Z78" s="11"/>
    </row>
    <row r="79" spans="5:43" ht="12.75" customHeight="1">
      <c r="E79" s="12"/>
      <c r="I79" s="12"/>
      <c r="J79" s="12"/>
      <c r="L79" s="12"/>
      <c r="M79" s="12"/>
      <c r="N79" s="12"/>
      <c r="R79" s="12"/>
      <c r="S79" s="12"/>
      <c r="U79" s="12"/>
      <c r="V79" s="12"/>
      <c r="Y79" s="12"/>
      <c r="Z79" s="11"/>
      <c r="AA79" s="12"/>
      <c r="AB79" s="12"/>
      <c r="AF79" s="12"/>
      <c r="AG79" s="12"/>
      <c r="AH79" s="12"/>
      <c r="AI79" s="12"/>
      <c r="AJ79" s="12"/>
      <c r="AK79" s="12"/>
      <c r="AO79" s="12"/>
      <c r="AQ79" s="12"/>
    </row>
    <row r="80" spans="22:45" ht="12.75" customHeight="1">
      <c r="V80" s="12"/>
      <c r="Z80" s="11"/>
      <c r="AS80" s="134"/>
    </row>
    <row r="81" spans="5:43" ht="12.75" customHeight="1">
      <c r="E81" s="12"/>
      <c r="I81" s="12"/>
      <c r="J81" s="12"/>
      <c r="L81" s="12"/>
      <c r="M81" s="12"/>
      <c r="N81" s="12"/>
      <c r="R81" s="12"/>
      <c r="S81" s="12"/>
      <c r="U81" s="12"/>
      <c r="Y81" s="12"/>
      <c r="Z81" s="11"/>
      <c r="AA81" s="12"/>
      <c r="AB81" s="12"/>
      <c r="AF81" s="12"/>
      <c r="AG81" s="12"/>
      <c r="AH81" s="12"/>
      <c r="AI81" s="12"/>
      <c r="AJ81" s="12"/>
      <c r="AK81" s="12"/>
      <c r="AO81" s="12"/>
      <c r="AQ81" s="12"/>
    </row>
    <row r="82" spans="5:43" ht="12.75" customHeight="1">
      <c r="E82" s="12"/>
      <c r="I82" s="12"/>
      <c r="J82" s="12"/>
      <c r="L82" s="12"/>
      <c r="M82" s="12"/>
      <c r="N82" s="12"/>
      <c r="R82" s="12"/>
      <c r="S82" s="12"/>
      <c r="U82" s="12"/>
      <c r="Y82" s="12"/>
      <c r="Z82" s="11"/>
      <c r="AA82" s="12"/>
      <c r="AB82" s="12"/>
      <c r="AF82" s="12"/>
      <c r="AG82" s="12"/>
      <c r="AH82" s="12"/>
      <c r="AI82" s="12"/>
      <c r="AJ82" s="12"/>
      <c r="AK82" s="12"/>
      <c r="AO82" s="12"/>
      <c r="AQ82" s="12"/>
    </row>
    <row r="83" spans="5:43" ht="12.75" customHeight="1">
      <c r="E83" s="12"/>
      <c r="I83" s="12"/>
      <c r="J83" s="12"/>
      <c r="L83" s="12"/>
      <c r="M83" s="12"/>
      <c r="N83" s="12"/>
      <c r="R83" s="12"/>
      <c r="S83" s="12"/>
      <c r="U83" s="12"/>
      <c r="Y83" s="12"/>
      <c r="Z83" s="11"/>
      <c r="AA83" s="12"/>
      <c r="AB83" s="12"/>
      <c r="AF83" s="12"/>
      <c r="AG83" s="12"/>
      <c r="AH83" s="12"/>
      <c r="AI83" s="12"/>
      <c r="AJ83" s="12"/>
      <c r="AK83" s="12"/>
      <c r="AO83" s="12"/>
      <c r="AQ83" s="12"/>
    </row>
    <row r="84" ht="12.75" customHeight="1">
      <c r="Z84" s="11"/>
    </row>
    <row r="85" spans="22:26" ht="12.75" customHeight="1">
      <c r="V85" s="12"/>
      <c r="Z85" s="11"/>
    </row>
    <row r="86" spans="5:43" ht="12.75" customHeight="1">
      <c r="E86" s="12"/>
      <c r="I86" s="12"/>
      <c r="J86" s="12"/>
      <c r="L86" s="12"/>
      <c r="M86" s="12"/>
      <c r="N86" s="12"/>
      <c r="R86" s="12"/>
      <c r="S86" s="12"/>
      <c r="U86" s="12"/>
      <c r="V86" s="12"/>
      <c r="Y86" s="12"/>
      <c r="Z86" s="11"/>
      <c r="AA86" s="12"/>
      <c r="AB86" s="12"/>
      <c r="AF86" s="12"/>
      <c r="AG86" s="12"/>
      <c r="AH86" s="12"/>
      <c r="AI86" s="12"/>
      <c r="AJ86" s="12"/>
      <c r="AK86" s="12"/>
      <c r="AO86" s="12"/>
      <c r="AQ86" s="12"/>
    </row>
    <row r="87" ht="12.75" customHeight="1">
      <c r="Z87" s="11"/>
    </row>
    <row r="88" spans="5:43" ht="12.75" customHeight="1">
      <c r="E88" s="12"/>
      <c r="I88" s="12"/>
      <c r="J88" s="12"/>
      <c r="L88" s="12"/>
      <c r="M88" s="12"/>
      <c r="N88" s="12"/>
      <c r="R88" s="12"/>
      <c r="S88" s="12"/>
      <c r="U88" s="12"/>
      <c r="V88" s="12"/>
      <c r="Y88" s="12"/>
      <c r="Z88" s="11"/>
      <c r="AA88" s="12"/>
      <c r="AB88" s="12"/>
      <c r="AF88" s="12"/>
      <c r="AG88" s="12"/>
      <c r="AH88" s="12"/>
      <c r="AI88" s="12"/>
      <c r="AJ88" s="12"/>
      <c r="AK88" s="12"/>
      <c r="AO88" s="12"/>
      <c r="AQ88" s="12"/>
    </row>
    <row r="89" spans="5:43" ht="12.75" customHeight="1">
      <c r="E89" s="12"/>
      <c r="I89" s="12"/>
      <c r="J89" s="12"/>
      <c r="L89" s="12"/>
      <c r="M89" s="12"/>
      <c r="N89" s="12"/>
      <c r="R89" s="12"/>
      <c r="S89" s="12"/>
      <c r="U89" s="12"/>
      <c r="V89" s="12"/>
      <c r="Y89" s="12"/>
      <c r="Z89" s="11"/>
      <c r="AA89" s="12"/>
      <c r="AB89" s="12"/>
      <c r="AF89" s="12"/>
      <c r="AG89" s="12"/>
      <c r="AH89" s="12"/>
      <c r="AI89" s="12"/>
      <c r="AJ89" s="12"/>
      <c r="AK89" s="12"/>
      <c r="AO89" s="12"/>
      <c r="AQ89" s="12"/>
    </row>
    <row r="90" spans="5:43" ht="12.75" customHeight="1">
      <c r="E90" s="12"/>
      <c r="I90" s="12"/>
      <c r="J90" s="12"/>
      <c r="L90" s="12"/>
      <c r="M90" s="12"/>
      <c r="N90" s="12"/>
      <c r="R90" s="12"/>
      <c r="S90" s="12"/>
      <c r="U90" s="12"/>
      <c r="V90" s="12"/>
      <c r="Y90" s="12"/>
      <c r="Z90" s="11"/>
      <c r="AA90" s="12"/>
      <c r="AB90" s="12"/>
      <c r="AF90" s="12"/>
      <c r="AG90" s="12"/>
      <c r="AH90" s="12"/>
      <c r="AI90" s="12"/>
      <c r="AJ90" s="12"/>
      <c r="AK90" s="12"/>
      <c r="AO90" s="12"/>
      <c r="AQ90" s="12"/>
    </row>
    <row r="91" spans="5:43" ht="12.75" customHeight="1">
      <c r="E91" s="12"/>
      <c r="I91" s="12"/>
      <c r="J91" s="12"/>
      <c r="L91" s="12"/>
      <c r="M91" s="12"/>
      <c r="N91" s="12"/>
      <c r="R91" s="12"/>
      <c r="S91" s="12"/>
      <c r="U91" s="12"/>
      <c r="V91" s="12"/>
      <c r="Y91" s="12"/>
      <c r="Z91" s="11"/>
      <c r="AA91" s="12"/>
      <c r="AB91" s="12"/>
      <c r="AF91" s="12"/>
      <c r="AG91" s="12"/>
      <c r="AH91" s="12"/>
      <c r="AI91" s="12"/>
      <c r="AJ91" s="12"/>
      <c r="AK91" s="12"/>
      <c r="AO91" s="12"/>
      <c r="AQ91" s="12"/>
    </row>
    <row r="92" spans="5:43" ht="12.75" customHeight="1">
      <c r="E92" s="12"/>
      <c r="I92" s="12"/>
      <c r="J92" s="12"/>
      <c r="L92" s="12"/>
      <c r="M92" s="12"/>
      <c r="N92" s="12"/>
      <c r="R92" s="12"/>
      <c r="S92" s="12"/>
      <c r="U92" s="12"/>
      <c r="V92" s="12"/>
      <c r="Y92" s="12"/>
      <c r="Z92" s="11"/>
      <c r="AA92" s="12"/>
      <c r="AB92" s="12"/>
      <c r="AF92" s="12"/>
      <c r="AG92" s="12"/>
      <c r="AH92" s="12"/>
      <c r="AI92" s="12"/>
      <c r="AJ92" s="12"/>
      <c r="AK92" s="12"/>
      <c r="AO92" s="12"/>
      <c r="AQ92" s="12"/>
    </row>
    <row r="93" spans="22:26" ht="12.75" customHeight="1">
      <c r="V93" s="12"/>
      <c r="Z93" s="11"/>
    </row>
    <row r="94" spans="5:43" ht="12.75" customHeight="1">
      <c r="E94" s="12"/>
      <c r="I94" s="12"/>
      <c r="J94" s="12"/>
      <c r="L94" s="12"/>
      <c r="M94" s="12"/>
      <c r="N94" s="12"/>
      <c r="R94" s="12"/>
      <c r="S94" s="12"/>
      <c r="U94" s="12"/>
      <c r="V94" s="12"/>
      <c r="Y94" s="12"/>
      <c r="Z94" s="12"/>
      <c r="AA94" s="12"/>
      <c r="AB94" s="12"/>
      <c r="AF94" s="12"/>
      <c r="AG94" s="12"/>
      <c r="AH94" s="12"/>
      <c r="AI94" s="12"/>
      <c r="AJ94" s="12"/>
      <c r="AK94" s="12"/>
      <c r="AO94" s="12"/>
      <c r="AQ94" s="12"/>
    </row>
    <row r="95" spans="22:26" ht="12.75" customHeight="1">
      <c r="V95" s="12"/>
      <c r="Z95" s="11"/>
    </row>
    <row r="96" spans="5:43" ht="12.75" customHeight="1">
      <c r="E96" s="12"/>
      <c r="I96" s="12"/>
      <c r="J96" s="12"/>
      <c r="L96" s="12"/>
      <c r="M96" s="12"/>
      <c r="N96" s="12"/>
      <c r="R96" s="12"/>
      <c r="S96" s="12"/>
      <c r="U96" s="12"/>
      <c r="Y96" s="12"/>
      <c r="Z96" s="11"/>
      <c r="AA96" s="12"/>
      <c r="AB96" s="12"/>
      <c r="AF96" s="12"/>
      <c r="AG96" s="12"/>
      <c r="AH96" s="12"/>
      <c r="AI96" s="12"/>
      <c r="AJ96" s="12"/>
      <c r="AK96" s="12"/>
      <c r="AO96" s="12"/>
      <c r="AQ96" s="12"/>
    </row>
    <row r="97" ht="12.75" customHeight="1">
      <c r="Z97" s="11"/>
    </row>
    <row r="98" ht="12.75" customHeight="1">
      <c r="Z98" s="11"/>
    </row>
    <row r="99" ht="12.75" customHeight="1">
      <c r="Z99" s="11"/>
    </row>
    <row r="100" ht="12.75" customHeight="1">
      <c r="Z100" s="11"/>
    </row>
    <row r="101" ht="12.75" customHeight="1">
      <c r="Z101" s="11"/>
    </row>
    <row r="102" ht="12.75" customHeight="1">
      <c r="Z102" s="11"/>
    </row>
    <row r="103" ht="12.75" customHeight="1">
      <c r="Z103" s="11"/>
    </row>
    <row r="104" ht="12.75" customHeight="1">
      <c r="Z104" s="11"/>
    </row>
    <row r="105" ht="12.75" customHeight="1">
      <c r="Z105" s="11"/>
    </row>
    <row r="106" ht="12.75" customHeight="1">
      <c r="Z106" s="11"/>
    </row>
    <row r="107" ht="12.75" customHeight="1">
      <c r="Z107" s="11"/>
    </row>
    <row r="108" ht="12.75" customHeight="1">
      <c r="Z108" s="11"/>
    </row>
    <row r="109" ht="12.75" customHeight="1">
      <c r="Z109" s="11"/>
    </row>
    <row r="110" ht="12.75" customHeight="1">
      <c r="Z110" s="11"/>
    </row>
    <row r="111" ht="12.75" customHeight="1">
      <c r="Z111" s="11"/>
    </row>
    <row r="112" ht="12.75" customHeight="1">
      <c r="Z112" s="11"/>
    </row>
    <row r="113" ht="12.75" customHeight="1">
      <c r="Z113" s="11"/>
    </row>
    <row r="114" ht="12.75" customHeight="1">
      <c r="Z114" s="11"/>
    </row>
    <row r="115" ht="12.75" customHeight="1">
      <c r="Z115" s="11"/>
    </row>
    <row r="116" ht="12.75" customHeight="1">
      <c r="Z116" s="11"/>
    </row>
    <row r="117" ht="12.75" customHeight="1">
      <c r="Z117" s="11"/>
    </row>
    <row r="118" ht="12.75" customHeight="1">
      <c r="Z118" s="11"/>
    </row>
    <row r="119" ht="12.75" customHeight="1">
      <c r="Z119" s="11"/>
    </row>
  </sheetData>
  <sheetProtection/>
  <mergeCells count="42">
    <mergeCell ref="C1:C3"/>
    <mergeCell ref="D1:D3"/>
    <mergeCell ref="AQ1:AQ3"/>
    <mergeCell ref="L1:L3"/>
    <mergeCell ref="V1:V3"/>
    <mergeCell ref="AI1:AI3"/>
    <mergeCell ref="AK1:AK3"/>
    <mergeCell ref="U1:U3"/>
    <mergeCell ref="Z1:Z3"/>
    <mergeCell ref="AA1:AA3"/>
    <mergeCell ref="J1:J3"/>
    <mergeCell ref="M1:M3"/>
    <mergeCell ref="F1:F3"/>
    <mergeCell ref="K1:K3"/>
    <mergeCell ref="H1:H3"/>
    <mergeCell ref="E1:E3"/>
    <mergeCell ref="G1:G3"/>
    <mergeCell ref="I1:I3"/>
    <mergeCell ref="N1:N3"/>
    <mergeCell ref="O1:O3"/>
    <mergeCell ref="W1:W3"/>
    <mergeCell ref="AL1:AL3"/>
    <mergeCell ref="AE1:AE3"/>
    <mergeCell ref="Y1:Y3"/>
    <mergeCell ref="Q1:Q3"/>
    <mergeCell ref="X1:X3"/>
    <mergeCell ref="AN1:AN3"/>
    <mergeCell ref="AG1:AG3"/>
    <mergeCell ref="AJ1:AJ3"/>
    <mergeCell ref="AB1:AB3"/>
    <mergeCell ref="AF1:AF3"/>
    <mergeCell ref="AD1:AD3"/>
    <mergeCell ref="AS1:AS3"/>
    <mergeCell ref="P1:P3"/>
    <mergeCell ref="T1:T3"/>
    <mergeCell ref="AM1:AM3"/>
    <mergeCell ref="S1:S3"/>
    <mergeCell ref="R1:R3"/>
    <mergeCell ref="AH1:AH3"/>
    <mergeCell ref="AP1:AP3"/>
    <mergeCell ref="AC1:AC3"/>
    <mergeCell ref="AO1:AO3"/>
  </mergeCells>
  <printOptions/>
  <pageMargins left="0.4724409448818898" right="0.31496062992125984" top="0.7874015748031497" bottom="0" header="0.2362204724409449" footer="0.11811023622047245"/>
  <pageSetup firstPageNumber="10" useFirstPageNumber="1" horizontalDpi="600" verticalDpi="600" orientation="portrait" paperSize="9" r:id="rId1"/>
  <headerFooter alignWithMargins="0">
    <oddHeader>&amp;C&amp;"Times New Roman,Bold"&amp;12 3.1. YFIRLIT UM BREYTINGU Á HREINNI EIGN TIL GREIÐSLU LÍFEYRIS ÁRIÐ 2006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view="pageBreakPreview" zoomScaleSheetLayoutView="100" zoomScalePageLayoutView="0" workbookViewId="0" topLeftCell="A1">
      <pane xSplit="2" ySplit="4" topLeftCell="AD4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D61" sqref="AD61"/>
    </sheetView>
  </sheetViews>
  <sheetFormatPr defaultColWidth="11.140625" defaultRowHeight="12.75" customHeight="1"/>
  <cols>
    <col min="1" max="1" width="22.7109375" style="11" customWidth="1"/>
    <col min="2" max="2" width="0.85546875" style="11" customWidth="1"/>
    <col min="3" max="16" width="9.28125" style="11" customWidth="1"/>
    <col min="17" max="17" width="9.8515625" style="11" customWidth="1"/>
    <col min="18" max="30" width="9.28125" style="11" customWidth="1"/>
    <col min="31" max="31" width="9.421875" style="11" customWidth="1"/>
    <col min="32" max="32" width="10.421875" style="11" customWidth="1"/>
    <col min="33" max="39" width="9.28125" style="11" customWidth="1"/>
    <col min="40" max="40" width="9.57421875" style="11" customWidth="1"/>
    <col min="41" max="41" width="9.28125" style="11" customWidth="1"/>
    <col min="42" max="42" width="10.421875" style="11" customWidth="1"/>
    <col min="43" max="43" width="9.28125" style="11" customWidth="1"/>
    <col min="44" max="44" width="5.8515625" style="290" customWidth="1"/>
    <col min="45" max="45" width="9.7109375" style="11" customWidth="1"/>
    <col min="46" max="46" width="5.00390625" style="11" customWidth="1"/>
    <col min="47" max="16384" width="11.140625" style="11" customWidth="1"/>
  </cols>
  <sheetData>
    <row r="1" spans="2:46" ht="12.75" customHeight="1">
      <c r="B1" s="4"/>
      <c r="C1" s="361" t="s">
        <v>438</v>
      </c>
      <c r="D1" s="361" t="s">
        <v>176</v>
      </c>
      <c r="E1" s="361" t="s">
        <v>25</v>
      </c>
      <c r="F1" s="361" t="s">
        <v>408</v>
      </c>
      <c r="G1" s="361" t="s">
        <v>409</v>
      </c>
      <c r="H1" s="361" t="s">
        <v>33</v>
      </c>
      <c r="I1" s="361" t="s">
        <v>235</v>
      </c>
      <c r="J1" s="361" t="s">
        <v>29</v>
      </c>
      <c r="K1" s="361" t="s">
        <v>2</v>
      </c>
      <c r="L1" s="361" t="s">
        <v>24</v>
      </c>
      <c r="M1" s="361" t="s">
        <v>3</v>
      </c>
      <c r="N1" s="361" t="s">
        <v>27</v>
      </c>
      <c r="O1" s="361" t="s">
        <v>31</v>
      </c>
      <c r="P1" s="361" t="s">
        <v>32</v>
      </c>
      <c r="Q1" s="361" t="s">
        <v>486</v>
      </c>
      <c r="R1" s="361" t="s">
        <v>410</v>
      </c>
      <c r="S1" s="361" t="s">
        <v>165</v>
      </c>
      <c r="T1" s="361" t="s">
        <v>244</v>
      </c>
      <c r="U1" s="361" t="s">
        <v>28</v>
      </c>
      <c r="V1" s="361" t="s">
        <v>159</v>
      </c>
      <c r="W1" s="361" t="s">
        <v>172</v>
      </c>
      <c r="X1" s="361" t="s">
        <v>500</v>
      </c>
      <c r="Y1" s="361" t="s">
        <v>419</v>
      </c>
      <c r="Z1" s="361" t="s">
        <v>30</v>
      </c>
      <c r="AA1" s="361" t="s">
        <v>498</v>
      </c>
      <c r="AB1" s="361" t="s">
        <v>239</v>
      </c>
      <c r="AC1" s="361" t="s">
        <v>501</v>
      </c>
      <c r="AD1" s="361" t="s">
        <v>171</v>
      </c>
      <c r="AE1" s="361" t="s">
        <v>168</v>
      </c>
      <c r="AF1" s="361" t="s">
        <v>160</v>
      </c>
      <c r="AG1" s="361" t="s">
        <v>499</v>
      </c>
      <c r="AH1" s="361" t="s">
        <v>163</v>
      </c>
      <c r="AI1" s="361" t="s">
        <v>4</v>
      </c>
      <c r="AJ1" s="361" t="s">
        <v>161</v>
      </c>
      <c r="AK1" s="361" t="s">
        <v>497</v>
      </c>
      <c r="AL1" s="361" t="s">
        <v>423</v>
      </c>
      <c r="AM1" s="361" t="s">
        <v>6</v>
      </c>
      <c r="AN1" s="361" t="s">
        <v>169</v>
      </c>
      <c r="AO1" s="361" t="s">
        <v>240</v>
      </c>
      <c r="AP1" s="361" t="s">
        <v>174</v>
      </c>
      <c r="AQ1" s="361" t="s">
        <v>420</v>
      </c>
      <c r="AS1" s="13" t="s">
        <v>411</v>
      </c>
      <c r="AT1" s="12"/>
    </row>
    <row r="2" spans="2:46" ht="12.75" customHeight="1">
      <c r="B2" s="6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S2" s="13" t="s">
        <v>9</v>
      </c>
      <c r="AT2" s="12"/>
    </row>
    <row r="3" spans="1:46" ht="12.75" customHeight="1">
      <c r="A3" s="6" t="s">
        <v>8</v>
      </c>
      <c r="B3" s="4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S3" s="13" t="s">
        <v>12</v>
      </c>
      <c r="AT3" s="12"/>
    </row>
    <row r="4" spans="2:46" ht="12.75" customHeight="1">
      <c r="B4" s="4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S4" s="13"/>
      <c r="AT4" s="12"/>
    </row>
    <row r="5" spans="2:46" ht="12.75" customHeight="1">
      <c r="B5" s="4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S5" s="13"/>
      <c r="AT5" s="12"/>
    </row>
    <row r="6" spans="1:46" ht="12.75" customHeight="1">
      <c r="A6" s="4" t="s">
        <v>488</v>
      </c>
      <c r="B6" s="4"/>
      <c r="C6" s="128"/>
      <c r="D6" s="129"/>
      <c r="E6" s="128"/>
      <c r="F6" s="128"/>
      <c r="G6" s="128"/>
      <c r="H6" s="128"/>
      <c r="I6" s="129"/>
      <c r="J6" s="128"/>
      <c r="K6" s="128"/>
      <c r="L6" s="129"/>
      <c r="M6" s="128"/>
      <c r="N6" s="128"/>
      <c r="O6" s="128"/>
      <c r="P6" s="128"/>
      <c r="Q6" s="128"/>
      <c r="R6" s="128"/>
      <c r="S6" s="128"/>
      <c r="T6" s="128"/>
      <c r="U6" s="129"/>
      <c r="V6" s="128"/>
      <c r="W6" s="128"/>
      <c r="X6" s="128"/>
      <c r="Y6" s="129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S6" s="12"/>
      <c r="AT6" s="12"/>
    </row>
    <row r="7" spans="1:46" ht="12.75" customHeight="1">
      <c r="A7" s="17" t="s">
        <v>298</v>
      </c>
      <c r="B7" s="17"/>
      <c r="C7" s="128">
        <v>0</v>
      </c>
      <c r="D7" s="129">
        <v>0</v>
      </c>
      <c r="E7" s="128">
        <v>0</v>
      </c>
      <c r="F7" s="128">
        <v>0</v>
      </c>
      <c r="G7" s="128">
        <v>0</v>
      </c>
      <c r="H7" s="128">
        <v>0</v>
      </c>
      <c r="I7" s="129">
        <v>0</v>
      </c>
      <c r="J7" s="128">
        <v>0</v>
      </c>
      <c r="K7" s="128">
        <v>0</v>
      </c>
      <c r="L7" s="129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9">
        <v>0</v>
      </c>
      <c r="V7" s="128">
        <v>0</v>
      </c>
      <c r="W7" s="128">
        <v>0</v>
      </c>
      <c r="X7" s="128">
        <v>0</v>
      </c>
      <c r="Y7" s="129">
        <v>0</v>
      </c>
      <c r="Z7" s="128">
        <v>0</v>
      </c>
      <c r="AA7" s="128">
        <v>0</v>
      </c>
      <c r="AB7" s="128">
        <v>0</v>
      </c>
      <c r="AC7" s="128">
        <v>0</v>
      </c>
      <c r="AD7" s="128">
        <v>0</v>
      </c>
      <c r="AE7" s="128">
        <v>0</v>
      </c>
      <c r="AF7" s="128">
        <v>0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128">
        <v>0</v>
      </c>
      <c r="AO7" s="128">
        <v>0</v>
      </c>
      <c r="AP7" s="128">
        <v>0</v>
      </c>
      <c r="AQ7" s="128">
        <v>0</v>
      </c>
      <c r="AS7" s="12">
        <f>SUM(C7:AQ7)</f>
        <v>0</v>
      </c>
      <c r="AT7" s="12"/>
    </row>
    <row r="8" spans="1:46" ht="12.75" customHeight="1">
      <c r="A8" s="4"/>
      <c r="B8" s="4"/>
      <c r="C8" s="128"/>
      <c r="D8" s="129"/>
      <c r="E8" s="128"/>
      <c r="F8" s="128"/>
      <c r="G8" s="128"/>
      <c r="H8" s="128"/>
      <c r="I8" s="129"/>
      <c r="J8" s="128"/>
      <c r="K8" s="128"/>
      <c r="L8" s="129"/>
      <c r="M8" s="128"/>
      <c r="N8" s="128"/>
      <c r="O8" s="128"/>
      <c r="P8" s="128"/>
      <c r="Q8" s="128"/>
      <c r="R8" s="128"/>
      <c r="S8" s="128"/>
      <c r="T8" s="128"/>
      <c r="U8" s="129"/>
      <c r="V8" s="128"/>
      <c r="W8" s="128"/>
      <c r="X8" s="128"/>
      <c r="Y8" s="129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S8" s="12"/>
      <c r="AT8" s="12"/>
    </row>
    <row r="9" spans="1:46" ht="12.75" customHeight="1">
      <c r="A9" s="4" t="s">
        <v>87</v>
      </c>
      <c r="B9" s="4"/>
      <c r="C9" s="128"/>
      <c r="D9" s="129"/>
      <c r="E9" s="128"/>
      <c r="F9" s="128"/>
      <c r="G9" s="128"/>
      <c r="H9" s="128"/>
      <c r="I9" s="129"/>
      <c r="J9" s="128"/>
      <c r="K9" s="128"/>
      <c r="L9" s="129"/>
      <c r="M9" s="128"/>
      <c r="N9" s="128"/>
      <c r="O9" s="128"/>
      <c r="P9" s="128"/>
      <c r="Q9" s="128"/>
      <c r="R9" s="128"/>
      <c r="S9" s="128"/>
      <c r="T9" s="128"/>
      <c r="U9" s="129"/>
      <c r="V9" s="128"/>
      <c r="W9" s="128"/>
      <c r="X9" s="128"/>
      <c r="Y9" s="129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S9" s="12"/>
      <c r="AT9" s="12"/>
    </row>
    <row r="10" spans="1:46" ht="12.75" customHeight="1">
      <c r="A10" s="6" t="s">
        <v>88</v>
      </c>
      <c r="B10" s="6"/>
      <c r="C10" s="129">
        <v>130568</v>
      </c>
      <c r="D10" s="129">
        <v>293804</v>
      </c>
      <c r="E10" s="129">
        <v>204759</v>
      </c>
      <c r="F10" s="129">
        <v>147877</v>
      </c>
      <c r="G10" s="128">
        <v>0</v>
      </c>
      <c r="H10" s="129">
        <v>67250</v>
      </c>
      <c r="I10" s="129">
        <v>14788</v>
      </c>
      <c r="J10" s="129">
        <v>73600</v>
      </c>
      <c r="K10" s="128">
        <v>0</v>
      </c>
      <c r="L10" s="129">
        <v>28079</v>
      </c>
      <c r="M10" s="128">
        <v>0</v>
      </c>
      <c r="N10" s="129">
        <v>25149</v>
      </c>
      <c r="O10" s="128">
        <v>0</v>
      </c>
      <c r="P10" s="129">
        <v>35356</v>
      </c>
      <c r="Q10" s="128">
        <v>0</v>
      </c>
      <c r="R10" s="128">
        <v>0</v>
      </c>
      <c r="S10" s="129">
        <v>14508</v>
      </c>
      <c r="T10" s="129">
        <v>23082</v>
      </c>
      <c r="U10" s="129">
        <v>0</v>
      </c>
      <c r="V10" s="129">
        <v>17563</v>
      </c>
      <c r="W10" s="128">
        <v>0</v>
      </c>
      <c r="X10" s="128">
        <v>0</v>
      </c>
      <c r="Y10" s="128">
        <v>0</v>
      </c>
      <c r="Z10" s="129">
        <v>11383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S10" s="12">
        <f>SUM(C10:AQ10)</f>
        <v>1087766</v>
      </c>
      <c r="AT10" s="12"/>
    </row>
    <row r="11" spans="1:46" ht="12.75" customHeight="1">
      <c r="A11" s="6"/>
      <c r="B11" s="6"/>
      <c r="C11" s="129"/>
      <c r="D11" s="129"/>
      <c r="E11" s="129"/>
      <c r="F11" s="129"/>
      <c r="G11" s="128"/>
      <c r="H11" s="129"/>
      <c r="I11" s="129"/>
      <c r="J11" s="129"/>
      <c r="K11" s="128"/>
      <c r="L11" s="129"/>
      <c r="M11" s="128"/>
      <c r="N11" s="129"/>
      <c r="O11" s="128"/>
      <c r="P11" s="129"/>
      <c r="Q11" s="128"/>
      <c r="R11" s="128"/>
      <c r="S11" s="129"/>
      <c r="T11" s="129"/>
      <c r="U11" s="129"/>
      <c r="V11" s="129"/>
      <c r="W11" s="128"/>
      <c r="X11" s="128"/>
      <c r="Y11" s="128"/>
      <c r="Z11" s="129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S11" s="12"/>
      <c r="AT11" s="12"/>
    </row>
    <row r="12" spans="1:46" ht="12.75" customHeight="1">
      <c r="A12" s="18" t="s">
        <v>89</v>
      </c>
      <c r="B12" s="18"/>
      <c r="C12" s="129"/>
      <c r="D12" s="129"/>
      <c r="E12" s="129"/>
      <c r="F12" s="129"/>
      <c r="G12" s="128"/>
      <c r="H12" s="129"/>
      <c r="I12" s="129"/>
      <c r="J12" s="129"/>
      <c r="K12" s="128"/>
      <c r="L12" s="129"/>
      <c r="M12" s="128"/>
      <c r="N12" s="129"/>
      <c r="O12" s="128"/>
      <c r="P12" s="129"/>
      <c r="Q12" s="128"/>
      <c r="R12" s="128"/>
      <c r="S12" s="129"/>
      <c r="T12" s="129"/>
      <c r="U12" s="129"/>
      <c r="V12" s="129"/>
      <c r="W12" s="128"/>
      <c r="X12" s="128"/>
      <c r="Y12" s="128"/>
      <c r="Z12" s="129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S12" s="12"/>
      <c r="AT12" s="12"/>
    </row>
    <row r="13" spans="1:46" ht="12.75" customHeight="1">
      <c r="A13" s="6" t="s">
        <v>90</v>
      </c>
      <c r="B13" s="6"/>
      <c r="C13" s="128">
        <v>0</v>
      </c>
      <c r="D13" s="129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9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9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S13" s="12">
        <f>SUM(C13:AQ13)</f>
        <v>0</v>
      </c>
      <c r="AT13" s="12"/>
    </row>
    <row r="14" spans="1:46" ht="12.75" customHeight="1">
      <c r="A14" s="6" t="s">
        <v>91</v>
      </c>
      <c r="B14" s="6"/>
      <c r="C14" s="128">
        <v>0</v>
      </c>
      <c r="D14" s="129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9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9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S14" s="12">
        <f>SUM(C14:AQ14)</f>
        <v>0</v>
      </c>
      <c r="AT14" s="12"/>
    </row>
    <row r="15" spans="1:46" ht="12.75" customHeight="1">
      <c r="A15" s="6" t="s">
        <v>92</v>
      </c>
      <c r="B15" s="6"/>
      <c r="C15" s="128">
        <v>0</v>
      </c>
      <c r="D15" s="129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9">
        <v>0</v>
      </c>
      <c r="M15" s="128">
        <v>0</v>
      </c>
      <c r="N15" s="129">
        <v>32345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9">
        <v>29855</v>
      </c>
      <c r="U15" s="129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S15" s="12">
        <f>SUM(C15:AQ15)</f>
        <v>62200</v>
      </c>
      <c r="AT15" s="12"/>
    </row>
    <row r="16" spans="1:46" ht="12.75" customHeight="1">
      <c r="A16" s="6" t="s">
        <v>93</v>
      </c>
      <c r="B16" s="6"/>
      <c r="C16" s="128">
        <v>0</v>
      </c>
      <c r="D16" s="129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9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9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S16" s="12">
        <f>SUM(C16:AQ16)</f>
        <v>0</v>
      </c>
      <c r="AT16" s="12"/>
    </row>
    <row r="17" spans="1:46" ht="12.75" customHeight="1">
      <c r="A17" s="6"/>
      <c r="B17" s="6"/>
      <c r="C17" s="128"/>
      <c r="D17" s="129"/>
      <c r="E17" s="128"/>
      <c r="F17" s="128"/>
      <c r="G17" s="128"/>
      <c r="H17" s="128"/>
      <c r="I17" s="128"/>
      <c r="J17" s="128"/>
      <c r="K17" s="128"/>
      <c r="L17" s="129"/>
      <c r="M17" s="128"/>
      <c r="N17" s="128"/>
      <c r="O17" s="128"/>
      <c r="P17" s="128"/>
      <c r="Q17" s="128"/>
      <c r="R17" s="128"/>
      <c r="S17" s="128"/>
      <c r="T17" s="128"/>
      <c r="U17" s="129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S17" s="12"/>
      <c r="AT17" s="12"/>
    </row>
    <row r="18" spans="1:46" ht="12.75" customHeight="1">
      <c r="A18" s="18" t="s">
        <v>94</v>
      </c>
      <c r="B18" s="18"/>
      <c r="C18" s="128"/>
      <c r="D18" s="129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8"/>
      <c r="Q18" s="128"/>
      <c r="R18" s="128"/>
      <c r="S18" s="128"/>
      <c r="T18" s="128"/>
      <c r="U18" s="129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S18" s="12"/>
      <c r="AT18" s="12"/>
    </row>
    <row r="19" spans="1:46" ht="12.75" customHeight="1">
      <c r="A19" s="6" t="s">
        <v>95</v>
      </c>
      <c r="B19" s="6"/>
      <c r="C19" s="129">
        <v>133781254</v>
      </c>
      <c r="D19" s="129">
        <v>138477043</v>
      </c>
      <c r="E19" s="129">
        <v>112007037</v>
      </c>
      <c r="F19" s="129">
        <v>42915032</v>
      </c>
      <c r="G19" s="129">
        <v>60070326</v>
      </c>
      <c r="H19" s="129">
        <v>33262682</v>
      </c>
      <c r="I19" s="129">
        <v>33909546</v>
      </c>
      <c r="J19" s="129">
        <v>27790520</v>
      </c>
      <c r="K19" s="129">
        <v>19828802</v>
      </c>
      <c r="L19" s="129">
        <v>25302817</v>
      </c>
      <c r="M19" s="129">
        <v>17361537</v>
      </c>
      <c r="N19" s="129">
        <v>16280761</v>
      </c>
      <c r="O19" s="129">
        <v>12880935</v>
      </c>
      <c r="P19" s="129">
        <v>15127134</v>
      </c>
      <c r="Q19" s="129">
        <v>10073837</v>
      </c>
      <c r="R19" s="129">
        <v>19386116</v>
      </c>
      <c r="S19" s="129">
        <v>10897026</v>
      </c>
      <c r="T19" s="129">
        <v>9842045</v>
      </c>
      <c r="U19" s="129">
        <v>16690235</v>
      </c>
      <c r="V19" s="129">
        <v>10002947</v>
      </c>
      <c r="W19" s="129">
        <v>2056770</v>
      </c>
      <c r="X19" s="129">
        <v>2392884</v>
      </c>
      <c r="Y19" s="129">
        <v>5058112</v>
      </c>
      <c r="Z19" s="129">
        <v>1845855</v>
      </c>
      <c r="AA19" s="129">
        <v>3112975</v>
      </c>
      <c r="AB19" s="129">
        <v>2414541</v>
      </c>
      <c r="AC19" s="129">
        <v>2349090</v>
      </c>
      <c r="AD19" s="129">
        <v>1479354</v>
      </c>
      <c r="AE19" s="129">
        <v>1049705</v>
      </c>
      <c r="AF19" s="129">
        <v>994586</v>
      </c>
      <c r="AG19" s="129">
        <v>1623437</v>
      </c>
      <c r="AH19" s="129">
        <v>976731</v>
      </c>
      <c r="AI19" s="129">
        <v>530149</v>
      </c>
      <c r="AJ19" s="129">
        <v>625009</v>
      </c>
      <c r="AK19" s="129">
        <v>7072</v>
      </c>
      <c r="AL19" s="129">
        <v>508519</v>
      </c>
      <c r="AM19" s="129">
        <v>25609</v>
      </c>
      <c r="AN19" s="129">
        <v>166889</v>
      </c>
      <c r="AO19" s="129">
        <v>185721</v>
      </c>
      <c r="AP19" s="129">
        <v>900</v>
      </c>
      <c r="AQ19" s="128">
        <v>0</v>
      </c>
      <c r="AS19" s="12">
        <f aca="true" t="shared" si="0" ref="AS19:AS24">SUM(C19:AQ19)</f>
        <v>793291540</v>
      </c>
      <c r="AT19" s="12"/>
    </row>
    <row r="20" spans="1:46" ht="12.75" customHeight="1">
      <c r="A20" s="6" t="s">
        <v>96</v>
      </c>
      <c r="B20" s="6"/>
      <c r="C20" s="129">
        <v>112572492</v>
      </c>
      <c r="D20" s="129">
        <v>66082898</v>
      </c>
      <c r="E20" s="129">
        <v>93522879</v>
      </c>
      <c r="F20" s="129">
        <v>35567058</v>
      </c>
      <c r="G20" s="129">
        <v>17016906</v>
      </c>
      <c r="H20" s="129">
        <v>30977892</v>
      </c>
      <c r="I20" s="129">
        <v>24303876</v>
      </c>
      <c r="J20" s="129">
        <v>27307952</v>
      </c>
      <c r="K20" s="129">
        <v>28605992</v>
      </c>
      <c r="L20" s="129">
        <v>21915557</v>
      </c>
      <c r="M20" s="129">
        <v>15676738</v>
      </c>
      <c r="N20" s="129">
        <v>8605399</v>
      </c>
      <c r="O20" s="129">
        <v>9713536</v>
      </c>
      <c r="P20" s="129">
        <v>10536400</v>
      </c>
      <c r="Q20" s="129">
        <v>7952934</v>
      </c>
      <c r="R20" s="129">
        <v>775114</v>
      </c>
      <c r="S20" s="129">
        <v>9515293</v>
      </c>
      <c r="T20" s="129">
        <v>10368560</v>
      </c>
      <c r="U20" s="129">
        <v>3360091</v>
      </c>
      <c r="V20" s="129">
        <v>2078380</v>
      </c>
      <c r="W20" s="129">
        <v>6147964</v>
      </c>
      <c r="X20" s="129">
        <v>9218363</v>
      </c>
      <c r="Y20" s="129">
        <v>1732120</v>
      </c>
      <c r="Z20" s="129">
        <v>1598430</v>
      </c>
      <c r="AA20" s="129">
        <v>646800</v>
      </c>
      <c r="AB20" s="129">
        <v>458861</v>
      </c>
      <c r="AC20" s="129">
        <v>127874</v>
      </c>
      <c r="AD20" s="129">
        <v>592313</v>
      </c>
      <c r="AE20" s="129">
        <v>1251441</v>
      </c>
      <c r="AF20" s="129">
        <v>915540</v>
      </c>
      <c r="AG20" s="129">
        <v>129599</v>
      </c>
      <c r="AH20" s="129">
        <v>148512</v>
      </c>
      <c r="AI20" s="129">
        <v>162898</v>
      </c>
      <c r="AJ20" s="129">
        <v>153414</v>
      </c>
      <c r="AK20" s="129">
        <v>140335</v>
      </c>
      <c r="AL20" s="129">
        <v>33497</v>
      </c>
      <c r="AM20" s="129">
        <v>380879</v>
      </c>
      <c r="AN20" s="129">
        <v>251604</v>
      </c>
      <c r="AO20" s="129">
        <v>181081</v>
      </c>
      <c r="AP20" s="129">
        <v>475</v>
      </c>
      <c r="AQ20" s="129">
        <v>13798</v>
      </c>
      <c r="AS20" s="12">
        <f t="shared" si="0"/>
        <v>560741745</v>
      </c>
      <c r="AT20" s="12"/>
    </row>
    <row r="21" spans="1:46" ht="12.75" customHeight="1">
      <c r="A21" s="12" t="s">
        <v>97</v>
      </c>
      <c r="B21" s="12"/>
      <c r="C21" s="129">
        <v>35746042</v>
      </c>
      <c r="D21" s="129">
        <v>31362704</v>
      </c>
      <c r="E21" s="129">
        <v>10083178</v>
      </c>
      <c r="F21" s="129">
        <v>9132403</v>
      </c>
      <c r="G21" s="129">
        <v>5452794</v>
      </c>
      <c r="H21" s="129">
        <v>9480400</v>
      </c>
      <c r="I21" s="129">
        <v>375332</v>
      </c>
      <c r="J21" s="129">
        <v>444270</v>
      </c>
      <c r="K21" s="129">
        <v>1515268</v>
      </c>
      <c r="L21" s="129">
        <v>882896</v>
      </c>
      <c r="M21" s="129">
        <v>1778330</v>
      </c>
      <c r="N21" s="129">
        <v>844955</v>
      </c>
      <c r="O21" s="129">
        <v>3872487</v>
      </c>
      <c r="P21" s="129">
        <v>360028</v>
      </c>
      <c r="Q21" s="129">
        <v>3416660</v>
      </c>
      <c r="R21" s="128">
        <v>0</v>
      </c>
      <c r="S21" s="129">
        <v>1928548</v>
      </c>
      <c r="T21" s="128">
        <v>0</v>
      </c>
      <c r="U21" s="129">
        <v>367999</v>
      </c>
      <c r="V21" s="129">
        <v>1943860</v>
      </c>
      <c r="W21" s="129">
        <v>1169239</v>
      </c>
      <c r="X21" s="129">
        <v>298423</v>
      </c>
      <c r="Y21" s="128">
        <v>0</v>
      </c>
      <c r="Z21" s="128">
        <v>0</v>
      </c>
      <c r="AA21" s="129">
        <v>51857</v>
      </c>
      <c r="AB21" s="129">
        <v>14282</v>
      </c>
      <c r="AC21" s="129">
        <v>51604</v>
      </c>
      <c r="AD21" s="129">
        <v>288801</v>
      </c>
      <c r="AE21" s="129">
        <v>63902</v>
      </c>
      <c r="AF21" s="129">
        <v>255654</v>
      </c>
      <c r="AG21" s="129">
        <v>10263</v>
      </c>
      <c r="AH21" s="128">
        <v>0</v>
      </c>
      <c r="AI21" s="129">
        <v>38724</v>
      </c>
      <c r="AJ21" s="128">
        <v>0</v>
      </c>
      <c r="AK21" s="129">
        <v>21148</v>
      </c>
      <c r="AL21" s="129">
        <v>454</v>
      </c>
      <c r="AM21" s="129">
        <v>14957</v>
      </c>
      <c r="AN21" s="129">
        <v>17047</v>
      </c>
      <c r="AO21" s="129">
        <v>48844</v>
      </c>
      <c r="AP21" s="129">
        <v>1269</v>
      </c>
      <c r="AQ21" s="129">
        <v>15002</v>
      </c>
      <c r="AS21" s="12">
        <f t="shared" si="0"/>
        <v>121349624</v>
      </c>
      <c r="AT21" s="12"/>
    </row>
    <row r="22" spans="1:46" ht="12.75" customHeight="1">
      <c r="A22" s="12" t="s">
        <v>98</v>
      </c>
      <c r="B22" s="12"/>
      <c r="C22" s="128">
        <v>0</v>
      </c>
      <c r="D22" s="129">
        <v>0</v>
      </c>
      <c r="E22" s="128">
        <v>0</v>
      </c>
      <c r="F22" s="128">
        <v>0</v>
      </c>
      <c r="G22" s="128">
        <v>0</v>
      </c>
      <c r="H22" s="129">
        <v>0</v>
      </c>
      <c r="I22" s="129">
        <v>42693</v>
      </c>
      <c r="J22" s="128">
        <v>0</v>
      </c>
      <c r="K22" s="128">
        <v>0</v>
      </c>
      <c r="L22" s="129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9">
        <v>436085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9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S22" s="12">
        <f t="shared" si="0"/>
        <v>478778</v>
      </c>
      <c r="AT22" s="12"/>
    </row>
    <row r="23" spans="1:46" ht="12.75" customHeight="1">
      <c r="A23" s="6" t="s">
        <v>99</v>
      </c>
      <c r="B23" s="6"/>
      <c r="C23" s="128">
        <v>0</v>
      </c>
      <c r="D23" s="129">
        <v>0</v>
      </c>
      <c r="E23" s="129">
        <v>21511</v>
      </c>
      <c r="F23" s="128">
        <v>0</v>
      </c>
      <c r="G23" s="129">
        <v>7424</v>
      </c>
      <c r="H23" s="129">
        <v>9326</v>
      </c>
      <c r="I23" s="128">
        <v>0</v>
      </c>
      <c r="J23" s="129">
        <v>737514</v>
      </c>
      <c r="K23" s="128">
        <v>0</v>
      </c>
      <c r="L23" s="129">
        <v>440494</v>
      </c>
      <c r="M23" s="128">
        <v>0</v>
      </c>
      <c r="N23" s="128">
        <v>0</v>
      </c>
      <c r="O23" s="129">
        <v>523943</v>
      </c>
      <c r="P23" s="128">
        <v>0</v>
      </c>
      <c r="Q23" s="129">
        <v>996024</v>
      </c>
      <c r="R23" s="129">
        <v>2297714</v>
      </c>
      <c r="S23" s="128">
        <v>0</v>
      </c>
      <c r="T23" s="129">
        <v>740711</v>
      </c>
      <c r="U23" s="129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9">
        <v>457882</v>
      </c>
      <c r="AL23" s="128">
        <v>0</v>
      </c>
      <c r="AM23" s="128">
        <v>0</v>
      </c>
      <c r="AN23" s="129">
        <v>5353</v>
      </c>
      <c r="AO23" s="129">
        <v>19387</v>
      </c>
      <c r="AP23" s="128">
        <v>0</v>
      </c>
      <c r="AQ23" s="128">
        <v>0</v>
      </c>
      <c r="AS23" s="12">
        <f t="shared" si="0"/>
        <v>6257283</v>
      </c>
      <c r="AT23" s="12"/>
    </row>
    <row r="24" spans="1:46" ht="12.75" customHeight="1">
      <c r="A24" s="12" t="s">
        <v>94</v>
      </c>
      <c r="B24" s="12"/>
      <c r="C24" s="129">
        <v>443619</v>
      </c>
      <c r="D24" s="129">
        <v>0</v>
      </c>
      <c r="E24" s="129">
        <v>4282</v>
      </c>
      <c r="F24" s="128">
        <v>0</v>
      </c>
      <c r="G24" s="129">
        <v>2760</v>
      </c>
      <c r="H24" s="129">
        <v>112199</v>
      </c>
      <c r="I24" s="128">
        <v>0</v>
      </c>
      <c r="J24" s="128">
        <v>0</v>
      </c>
      <c r="K24" s="129">
        <v>567</v>
      </c>
      <c r="L24" s="129">
        <v>0</v>
      </c>
      <c r="M24" s="128">
        <v>0</v>
      </c>
      <c r="N24" s="129">
        <v>1141563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453972</v>
      </c>
      <c r="U24" s="129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9">
        <v>-5000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S24" s="12">
        <f t="shared" si="0"/>
        <v>2153962</v>
      </c>
      <c r="AT24" s="12"/>
    </row>
    <row r="25" spans="1:46" ht="12.75" customHeight="1">
      <c r="A25" s="19" t="s">
        <v>100</v>
      </c>
      <c r="B25" s="19"/>
      <c r="C25" s="129">
        <f aca="true" t="shared" si="1" ref="C25:AQ25">SUM(C19:C24)</f>
        <v>282543407</v>
      </c>
      <c r="D25" s="129">
        <f t="shared" si="1"/>
        <v>235922645</v>
      </c>
      <c r="E25" s="129">
        <f t="shared" si="1"/>
        <v>215638887</v>
      </c>
      <c r="F25" s="129">
        <f t="shared" si="1"/>
        <v>87614493</v>
      </c>
      <c r="G25" s="129">
        <f t="shared" si="1"/>
        <v>82550210</v>
      </c>
      <c r="H25" s="129">
        <f t="shared" si="1"/>
        <v>73842499</v>
      </c>
      <c r="I25" s="129">
        <f t="shared" si="1"/>
        <v>58631447</v>
      </c>
      <c r="J25" s="129">
        <f t="shared" si="1"/>
        <v>56280256</v>
      </c>
      <c r="K25" s="129">
        <f t="shared" si="1"/>
        <v>49950629</v>
      </c>
      <c r="L25" s="129">
        <f t="shared" si="1"/>
        <v>48541764</v>
      </c>
      <c r="M25" s="129">
        <f t="shared" si="1"/>
        <v>34816605</v>
      </c>
      <c r="N25" s="129">
        <f t="shared" si="1"/>
        <v>26872678</v>
      </c>
      <c r="O25" s="129">
        <f t="shared" si="1"/>
        <v>26990901</v>
      </c>
      <c r="P25" s="129">
        <f t="shared" si="1"/>
        <v>26023562</v>
      </c>
      <c r="Q25" s="129">
        <f t="shared" si="1"/>
        <v>22439455</v>
      </c>
      <c r="R25" s="129">
        <f t="shared" si="1"/>
        <v>22458944</v>
      </c>
      <c r="S25" s="129">
        <f t="shared" si="1"/>
        <v>22340867</v>
      </c>
      <c r="T25" s="129">
        <f t="shared" si="1"/>
        <v>21405288</v>
      </c>
      <c r="U25" s="129">
        <f t="shared" si="1"/>
        <v>20854410</v>
      </c>
      <c r="V25" s="129">
        <f t="shared" si="1"/>
        <v>14025187</v>
      </c>
      <c r="W25" s="129">
        <f t="shared" si="1"/>
        <v>9373973</v>
      </c>
      <c r="X25" s="129">
        <f t="shared" si="1"/>
        <v>11909670</v>
      </c>
      <c r="Y25" s="129">
        <f t="shared" si="1"/>
        <v>6790232</v>
      </c>
      <c r="Z25" s="129">
        <f t="shared" si="1"/>
        <v>3444285</v>
      </c>
      <c r="AA25" s="129">
        <f t="shared" si="1"/>
        <v>3811632</v>
      </c>
      <c r="AB25" s="129">
        <f t="shared" si="1"/>
        <v>2887684</v>
      </c>
      <c r="AC25" s="129">
        <f t="shared" si="1"/>
        <v>2528568</v>
      </c>
      <c r="AD25" s="129">
        <f t="shared" si="1"/>
        <v>2360468</v>
      </c>
      <c r="AE25" s="129">
        <f t="shared" si="1"/>
        <v>2365048</v>
      </c>
      <c r="AF25" s="129">
        <f t="shared" si="1"/>
        <v>2165780</v>
      </c>
      <c r="AG25" s="129">
        <f t="shared" si="1"/>
        <v>1763299</v>
      </c>
      <c r="AH25" s="129">
        <f t="shared" si="1"/>
        <v>1125243</v>
      </c>
      <c r="AI25" s="129">
        <f t="shared" si="1"/>
        <v>731771</v>
      </c>
      <c r="AJ25" s="129">
        <f t="shared" si="1"/>
        <v>778423</v>
      </c>
      <c r="AK25" s="129">
        <f t="shared" si="1"/>
        <v>621437</v>
      </c>
      <c r="AL25" s="129">
        <f t="shared" si="1"/>
        <v>542470</v>
      </c>
      <c r="AM25" s="129">
        <f t="shared" si="1"/>
        <v>421445</v>
      </c>
      <c r="AN25" s="129">
        <f t="shared" si="1"/>
        <v>440893</v>
      </c>
      <c r="AO25" s="129">
        <f t="shared" si="1"/>
        <v>435033</v>
      </c>
      <c r="AP25" s="129">
        <f t="shared" si="1"/>
        <v>2644</v>
      </c>
      <c r="AQ25" s="129">
        <f t="shared" si="1"/>
        <v>28800</v>
      </c>
      <c r="AR25" s="129"/>
      <c r="AS25" s="129">
        <f>SUM(AS19:AS24)</f>
        <v>1484272932</v>
      </c>
      <c r="AT25" s="12"/>
    </row>
    <row r="26" spans="1:46" ht="12.75" customHeight="1">
      <c r="A26" s="19" t="s">
        <v>101</v>
      </c>
      <c r="B26" s="19"/>
      <c r="C26" s="129">
        <f aca="true" t="shared" si="2" ref="C26:AQ26">SUM(C13:C16)+C25+C10</f>
        <v>282673975</v>
      </c>
      <c r="D26" s="129">
        <f t="shared" si="2"/>
        <v>236216449</v>
      </c>
      <c r="E26" s="129">
        <f t="shared" si="2"/>
        <v>215843646</v>
      </c>
      <c r="F26" s="129">
        <f t="shared" si="2"/>
        <v>87762370</v>
      </c>
      <c r="G26" s="129">
        <f t="shared" si="2"/>
        <v>82550210</v>
      </c>
      <c r="H26" s="129">
        <f t="shared" si="2"/>
        <v>73909749</v>
      </c>
      <c r="I26" s="129">
        <f t="shared" si="2"/>
        <v>58646235</v>
      </c>
      <c r="J26" s="129">
        <f t="shared" si="2"/>
        <v>56353856</v>
      </c>
      <c r="K26" s="129">
        <f t="shared" si="2"/>
        <v>49950629</v>
      </c>
      <c r="L26" s="129">
        <f t="shared" si="2"/>
        <v>48569843</v>
      </c>
      <c r="M26" s="129">
        <f t="shared" si="2"/>
        <v>34816605</v>
      </c>
      <c r="N26" s="129">
        <f t="shared" si="2"/>
        <v>26930172</v>
      </c>
      <c r="O26" s="129">
        <f t="shared" si="2"/>
        <v>26990901</v>
      </c>
      <c r="P26" s="129">
        <f t="shared" si="2"/>
        <v>26058918</v>
      </c>
      <c r="Q26" s="129">
        <f t="shared" si="2"/>
        <v>22439455</v>
      </c>
      <c r="R26" s="129">
        <f t="shared" si="2"/>
        <v>22458944</v>
      </c>
      <c r="S26" s="129">
        <f t="shared" si="2"/>
        <v>22355375</v>
      </c>
      <c r="T26" s="129">
        <f t="shared" si="2"/>
        <v>21458225</v>
      </c>
      <c r="U26" s="129">
        <f t="shared" si="2"/>
        <v>20854410</v>
      </c>
      <c r="V26" s="129">
        <f t="shared" si="2"/>
        <v>14042750</v>
      </c>
      <c r="W26" s="129">
        <f t="shared" si="2"/>
        <v>9373973</v>
      </c>
      <c r="X26" s="129">
        <f t="shared" si="2"/>
        <v>11909670</v>
      </c>
      <c r="Y26" s="129">
        <f t="shared" si="2"/>
        <v>6790232</v>
      </c>
      <c r="Z26" s="129">
        <f t="shared" si="2"/>
        <v>3455668</v>
      </c>
      <c r="AA26" s="129">
        <f t="shared" si="2"/>
        <v>3811632</v>
      </c>
      <c r="AB26" s="129">
        <f t="shared" si="2"/>
        <v>2887684</v>
      </c>
      <c r="AC26" s="129">
        <f t="shared" si="2"/>
        <v>2528568</v>
      </c>
      <c r="AD26" s="129">
        <f t="shared" si="2"/>
        <v>2360468</v>
      </c>
      <c r="AE26" s="129">
        <f t="shared" si="2"/>
        <v>2365048</v>
      </c>
      <c r="AF26" s="129">
        <f t="shared" si="2"/>
        <v>2165780</v>
      </c>
      <c r="AG26" s="129">
        <f t="shared" si="2"/>
        <v>1763299</v>
      </c>
      <c r="AH26" s="129">
        <f t="shared" si="2"/>
        <v>1125243</v>
      </c>
      <c r="AI26" s="129">
        <f t="shared" si="2"/>
        <v>731771</v>
      </c>
      <c r="AJ26" s="129">
        <f t="shared" si="2"/>
        <v>778423</v>
      </c>
      <c r="AK26" s="129">
        <f t="shared" si="2"/>
        <v>621437</v>
      </c>
      <c r="AL26" s="129">
        <f t="shared" si="2"/>
        <v>542470</v>
      </c>
      <c r="AM26" s="129">
        <f t="shared" si="2"/>
        <v>421445</v>
      </c>
      <c r="AN26" s="129">
        <f t="shared" si="2"/>
        <v>440893</v>
      </c>
      <c r="AO26" s="129">
        <f t="shared" si="2"/>
        <v>435033</v>
      </c>
      <c r="AP26" s="129">
        <f t="shared" si="2"/>
        <v>2644</v>
      </c>
      <c r="AQ26" s="129">
        <f t="shared" si="2"/>
        <v>28800</v>
      </c>
      <c r="AR26" s="129"/>
      <c r="AS26" s="129">
        <f>SUM(AS13:AS16)+AS25+AS10</f>
        <v>1485422898</v>
      </c>
      <c r="AT26" s="12"/>
    </row>
    <row r="27" spans="1:46" ht="12.75" customHeight="1">
      <c r="A27" s="7"/>
      <c r="B27" s="7"/>
      <c r="C27" s="129"/>
      <c r="D27" s="129"/>
      <c r="E27" s="129"/>
      <c r="F27" s="128"/>
      <c r="G27" s="129"/>
      <c r="H27" s="129"/>
      <c r="I27" s="128"/>
      <c r="J27" s="128"/>
      <c r="K27" s="129"/>
      <c r="L27" s="129"/>
      <c r="M27" s="128"/>
      <c r="N27" s="129"/>
      <c r="O27" s="128"/>
      <c r="P27" s="128"/>
      <c r="Q27" s="128"/>
      <c r="R27" s="128"/>
      <c r="S27" s="128"/>
      <c r="T27" s="129"/>
      <c r="U27" s="129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  <c r="AL27" s="128"/>
      <c r="AM27" s="128"/>
      <c r="AN27" s="128"/>
      <c r="AO27" s="128"/>
      <c r="AP27" s="128"/>
      <c r="AQ27" s="128"/>
      <c r="AS27" s="12"/>
      <c r="AT27" s="12"/>
    </row>
    <row r="28" spans="1:46" ht="12.75" customHeight="1">
      <c r="A28" s="4" t="s">
        <v>102</v>
      </c>
      <c r="B28" s="4"/>
      <c r="C28" s="129"/>
      <c r="D28" s="129"/>
      <c r="E28" s="129"/>
      <c r="F28" s="128"/>
      <c r="G28" s="129"/>
      <c r="H28" s="129"/>
      <c r="I28" s="128"/>
      <c r="J28" s="128"/>
      <c r="K28" s="129"/>
      <c r="L28" s="129"/>
      <c r="M28" s="128"/>
      <c r="N28" s="129"/>
      <c r="O28" s="128"/>
      <c r="P28" s="128"/>
      <c r="Q28" s="128"/>
      <c r="R28" s="128"/>
      <c r="S28" s="128"/>
      <c r="T28" s="129"/>
      <c r="U28" s="129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  <c r="AL28" s="128"/>
      <c r="AM28" s="128"/>
      <c r="AN28" s="128"/>
      <c r="AO28" s="128"/>
      <c r="AP28" s="128"/>
      <c r="AQ28" s="128"/>
      <c r="AS28" s="12"/>
      <c r="AT28" s="12"/>
    </row>
    <row r="29" spans="1:46" ht="12.75" customHeight="1">
      <c r="A29" s="6" t="s">
        <v>103</v>
      </c>
      <c r="B29" s="6"/>
      <c r="C29" s="128">
        <v>0</v>
      </c>
      <c r="D29" s="129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9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9">
        <v>1</v>
      </c>
      <c r="S29" s="128">
        <v>0</v>
      </c>
      <c r="T29" s="128">
        <v>0</v>
      </c>
      <c r="U29" s="129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9">
        <v>11699</v>
      </c>
      <c r="AB29" s="128">
        <v>0</v>
      </c>
      <c r="AC29" s="129">
        <v>1834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S29" s="12">
        <f>SUM(C29:AQ29)</f>
        <v>13534</v>
      </c>
      <c r="AT29" s="12"/>
    </row>
    <row r="30" spans="1:46" ht="12.75" customHeight="1">
      <c r="A30" s="6" t="s">
        <v>104</v>
      </c>
      <c r="B30" s="6"/>
      <c r="C30" s="129">
        <v>508860</v>
      </c>
      <c r="D30" s="129">
        <v>1440000</v>
      </c>
      <c r="E30" s="129">
        <v>646486</v>
      </c>
      <c r="F30" s="129">
        <v>316894</v>
      </c>
      <c r="G30" s="129">
        <v>164716</v>
      </c>
      <c r="H30" s="129">
        <v>343107</v>
      </c>
      <c r="I30" s="129">
        <v>139019</v>
      </c>
      <c r="J30" s="129">
        <v>271533</v>
      </c>
      <c r="K30" s="129">
        <v>607921</v>
      </c>
      <c r="L30" s="129">
        <v>430872</v>
      </c>
      <c r="M30" s="128">
        <v>0</v>
      </c>
      <c r="N30" s="129">
        <v>271507</v>
      </c>
      <c r="O30" s="129">
        <v>144591</v>
      </c>
      <c r="P30" s="129">
        <v>370491</v>
      </c>
      <c r="Q30" s="129">
        <v>240778</v>
      </c>
      <c r="R30" s="129">
        <v>42422</v>
      </c>
      <c r="S30" s="129">
        <v>10668</v>
      </c>
      <c r="T30" s="129">
        <v>62017</v>
      </c>
      <c r="U30" s="129">
        <v>49222</v>
      </c>
      <c r="V30" s="129">
        <v>69377</v>
      </c>
      <c r="W30" s="129">
        <v>3695662</v>
      </c>
      <c r="X30" s="128">
        <v>0</v>
      </c>
      <c r="Y30" s="129">
        <v>258863</v>
      </c>
      <c r="Z30" s="129">
        <v>3892</v>
      </c>
      <c r="AA30" s="128">
        <v>0</v>
      </c>
      <c r="AB30" s="128">
        <v>0</v>
      </c>
      <c r="AC30" s="128">
        <v>0</v>
      </c>
      <c r="AD30" s="128">
        <v>0</v>
      </c>
      <c r="AE30" s="129">
        <v>16515</v>
      </c>
      <c r="AF30" s="128">
        <v>0</v>
      </c>
      <c r="AG30" s="128">
        <v>0</v>
      </c>
      <c r="AH30" s="128">
        <v>0</v>
      </c>
      <c r="AI30" s="129">
        <v>751</v>
      </c>
      <c r="AJ30" s="128">
        <v>0</v>
      </c>
      <c r="AK30" s="128">
        <v>0</v>
      </c>
      <c r="AL30" s="128">
        <v>0</v>
      </c>
      <c r="AM30" s="128">
        <v>0</v>
      </c>
      <c r="AN30" s="129">
        <v>19</v>
      </c>
      <c r="AO30" s="129">
        <v>2011</v>
      </c>
      <c r="AP30" s="128">
        <v>0</v>
      </c>
      <c r="AQ30" s="128">
        <v>0</v>
      </c>
      <c r="AS30" s="12">
        <f>SUM(C30:AQ30)</f>
        <v>10108194</v>
      </c>
      <c r="AT30" s="12"/>
    </row>
    <row r="31" spans="1:46" ht="12.75" customHeight="1">
      <c r="A31" s="6" t="s">
        <v>105</v>
      </c>
      <c r="B31" s="6"/>
      <c r="C31" s="129">
        <v>5777</v>
      </c>
      <c r="D31" s="129">
        <v>1320815</v>
      </c>
      <c r="E31" s="129">
        <v>343797</v>
      </c>
      <c r="F31" s="129">
        <v>6628677</v>
      </c>
      <c r="G31" s="129">
        <v>36054</v>
      </c>
      <c r="H31" s="129">
        <v>94243</v>
      </c>
      <c r="I31" s="129">
        <v>12515</v>
      </c>
      <c r="J31" s="129">
        <v>220603</v>
      </c>
      <c r="K31" s="129">
        <v>580</v>
      </c>
      <c r="L31" s="129">
        <v>409441</v>
      </c>
      <c r="M31" s="129">
        <v>52637</v>
      </c>
      <c r="N31" s="129">
        <v>1998</v>
      </c>
      <c r="O31" s="129">
        <v>6</v>
      </c>
      <c r="P31" s="129">
        <v>68530</v>
      </c>
      <c r="Q31" s="129">
        <v>1723</v>
      </c>
      <c r="R31" s="129">
        <v>33723</v>
      </c>
      <c r="S31" s="129">
        <v>110</v>
      </c>
      <c r="T31" s="129">
        <v>5854</v>
      </c>
      <c r="U31" s="129">
        <v>11602</v>
      </c>
      <c r="V31" s="129">
        <v>3836</v>
      </c>
      <c r="W31" s="128">
        <v>0</v>
      </c>
      <c r="X31" s="129">
        <v>29874</v>
      </c>
      <c r="Y31" s="129">
        <v>7030</v>
      </c>
      <c r="Z31" s="128">
        <v>0</v>
      </c>
      <c r="AA31" s="129">
        <v>3852</v>
      </c>
      <c r="AB31" s="128">
        <v>0</v>
      </c>
      <c r="AC31" s="129">
        <v>7376</v>
      </c>
      <c r="AD31" s="129">
        <v>0</v>
      </c>
      <c r="AE31" s="128">
        <v>0</v>
      </c>
      <c r="AF31" s="129">
        <v>5921</v>
      </c>
      <c r="AG31" s="129">
        <v>5406</v>
      </c>
      <c r="AH31" s="129">
        <v>82347</v>
      </c>
      <c r="AI31" s="128">
        <v>0</v>
      </c>
      <c r="AJ31" s="128">
        <v>0</v>
      </c>
      <c r="AK31" s="129">
        <v>84</v>
      </c>
      <c r="AL31" s="128">
        <v>0</v>
      </c>
      <c r="AM31" s="128">
        <v>0</v>
      </c>
      <c r="AN31" s="129">
        <v>117</v>
      </c>
      <c r="AO31" s="129">
        <v>30</v>
      </c>
      <c r="AP31" s="128">
        <v>0</v>
      </c>
      <c r="AQ31" s="128">
        <v>0</v>
      </c>
      <c r="AS31" s="12">
        <f>SUM(C31:AQ31)</f>
        <v>9394558</v>
      </c>
      <c r="AT31" s="12"/>
    </row>
    <row r="32" spans="1:46" ht="12.75" customHeight="1">
      <c r="A32" s="19" t="s">
        <v>106</v>
      </c>
      <c r="B32" s="19"/>
      <c r="C32" s="129">
        <f aca="true" t="shared" si="3" ref="C32:AQ32">SUM(C29:C31)</f>
        <v>514637</v>
      </c>
      <c r="D32" s="129">
        <f t="shared" si="3"/>
        <v>2760815</v>
      </c>
      <c r="E32" s="129">
        <f t="shared" si="3"/>
        <v>990283</v>
      </c>
      <c r="F32" s="129">
        <f t="shared" si="3"/>
        <v>6945571</v>
      </c>
      <c r="G32" s="129">
        <f t="shared" si="3"/>
        <v>200770</v>
      </c>
      <c r="H32" s="129">
        <f t="shared" si="3"/>
        <v>437350</v>
      </c>
      <c r="I32" s="129">
        <f t="shared" si="3"/>
        <v>151534</v>
      </c>
      <c r="J32" s="129">
        <f t="shared" si="3"/>
        <v>492136</v>
      </c>
      <c r="K32" s="129">
        <f t="shared" si="3"/>
        <v>608501</v>
      </c>
      <c r="L32" s="129">
        <f t="shared" si="3"/>
        <v>840313</v>
      </c>
      <c r="M32" s="129">
        <f t="shared" si="3"/>
        <v>52637</v>
      </c>
      <c r="N32" s="129">
        <f t="shared" si="3"/>
        <v>273505</v>
      </c>
      <c r="O32" s="129">
        <f t="shared" si="3"/>
        <v>144597</v>
      </c>
      <c r="P32" s="129">
        <f t="shared" si="3"/>
        <v>439021</v>
      </c>
      <c r="Q32" s="129">
        <f t="shared" si="3"/>
        <v>242501</v>
      </c>
      <c r="R32" s="129">
        <f t="shared" si="3"/>
        <v>76146</v>
      </c>
      <c r="S32" s="129">
        <f t="shared" si="3"/>
        <v>10778</v>
      </c>
      <c r="T32" s="129">
        <f t="shared" si="3"/>
        <v>67871</v>
      </c>
      <c r="U32" s="129">
        <f t="shared" si="3"/>
        <v>60824</v>
      </c>
      <c r="V32" s="129">
        <f t="shared" si="3"/>
        <v>73213</v>
      </c>
      <c r="W32" s="129">
        <f t="shared" si="3"/>
        <v>3695662</v>
      </c>
      <c r="X32" s="129">
        <f t="shared" si="3"/>
        <v>29874</v>
      </c>
      <c r="Y32" s="129">
        <f t="shared" si="3"/>
        <v>265893</v>
      </c>
      <c r="Z32" s="129">
        <f t="shared" si="3"/>
        <v>3892</v>
      </c>
      <c r="AA32" s="129">
        <f t="shared" si="3"/>
        <v>15551</v>
      </c>
      <c r="AB32" s="129">
        <f t="shared" si="3"/>
        <v>0</v>
      </c>
      <c r="AC32" s="129">
        <f t="shared" si="3"/>
        <v>9210</v>
      </c>
      <c r="AD32" s="129">
        <f t="shared" si="3"/>
        <v>0</v>
      </c>
      <c r="AE32" s="129">
        <f t="shared" si="3"/>
        <v>16515</v>
      </c>
      <c r="AF32" s="129">
        <f t="shared" si="3"/>
        <v>5921</v>
      </c>
      <c r="AG32" s="129">
        <f t="shared" si="3"/>
        <v>5406</v>
      </c>
      <c r="AH32" s="129">
        <f t="shared" si="3"/>
        <v>82347</v>
      </c>
      <c r="AI32" s="129">
        <f t="shared" si="3"/>
        <v>751</v>
      </c>
      <c r="AJ32" s="129">
        <f t="shared" si="3"/>
        <v>0</v>
      </c>
      <c r="AK32" s="129">
        <f t="shared" si="3"/>
        <v>84</v>
      </c>
      <c r="AL32" s="129">
        <f t="shared" si="3"/>
        <v>0</v>
      </c>
      <c r="AM32" s="129">
        <f t="shared" si="3"/>
        <v>0</v>
      </c>
      <c r="AN32" s="129">
        <f t="shared" si="3"/>
        <v>136</v>
      </c>
      <c r="AO32" s="129">
        <f t="shared" si="3"/>
        <v>2041</v>
      </c>
      <c r="AP32" s="129">
        <f t="shared" si="3"/>
        <v>0</v>
      </c>
      <c r="AQ32" s="129">
        <f t="shared" si="3"/>
        <v>0</v>
      </c>
      <c r="AR32" s="129"/>
      <c r="AS32" s="129">
        <f>SUM(AS29:AS31)</f>
        <v>19516286</v>
      </c>
      <c r="AT32" s="12"/>
    </row>
    <row r="33" spans="1:46" ht="12.75" customHeight="1">
      <c r="A33" s="12"/>
      <c r="B33" s="1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8"/>
      <c r="X33" s="129"/>
      <c r="Y33" s="129"/>
      <c r="Z33" s="128"/>
      <c r="AA33" s="129"/>
      <c r="AB33" s="128"/>
      <c r="AC33" s="129"/>
      <c r="AD33" s="129"/>
      <c r="AE33" s="128"/>
      <c r="AF33" s="129"/>
      <c r="AG33" s="129"/>
      <c r="AH33" s="129"/>
      <c r="AI33" s="128"/>
      <c r="AJ33" s="128"/>
      <c r="AK33" s="129"/>
      <c r="AL33" s="128"/>
      <c r="AM33" s="128"/>
      <c r="AN33" s="129"/>
      <c r="AO33" s="129"/>
      <c r="AP33" s="128"/>
      <c r="AQ33" s="128"/>
      <c r="AS33" s="12"/>
      <c r="AT33" s="12"/>
    </row>
    <row r="34" spans="1:46" ht="12.75" customHeight="1">
      <c r="A34" s="4" t="s">
        <v>107</v>
      </c>
      <c r="B34" s="4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8"/>
      <c r="X34" s="129"/>
      <c r="Y34" s="129"/>
      <c r="Z34" s="128"/>
      <c r="AA34" s="129"/>
      <c r="AB34" s="128"/>
      <c r="AC34" s="129"/>
      <c r="AD34" s="129"/>
      <c r="AE34" s="128"/>
      <c r="AF34" s="129"/>
      <c r="AG34" s="129"/>
      <c r="AH34" s="129"/>
      <c r="AI34" s="128"/>
      <c r="AJ34" s="128"/>
      <c r="AK34" s="129"/>
      <c r="AL34" s="128"/>
      <c r="AM34" s="128"/>
      <c r="AN34" s="129"/>
      <c r="AO34" s="129"/>
      <c r="AP34" s="128"/>
      <c r="AQ34" s="128"/>
      <c r="AS34" s="12"/>
      <c r="AT34" s="12"/>
    </row>
    <row r="35" spans="1:46" ht="12.75" customHeight="1">
      <c r="A35" s="12" t="s">
        <v>108</v>
      </c>
      <c r="B35" s="12"/>
      <c r="C35" s="129">
        <v>15158</v>
      </c>
      <c r="D35" s="129">
        <v>56238</v>
      </c>
      <c r="E35" s="129">
        <v>41642</v>
      </c>
      <c r="F35" s="129">
        <v>4628</v>
      </c>
      <c r="G35" s="128">
        <v>0</v>
      </c>
      <c r="H35" s="129">
        <v>21752</v>
      </c>
      <c r="I35" s="128">
        <v>0</v>
      </c>
      <c r="J35" s="129">
        <v>3784</v>
      </c>
      <c r="K35" s="129">
        <v>3815</v>
      </c>
      <c r="L35" s="129">
        <v>2552</v>
      </c>
      <c r="M35" s="129">
        <v>1149</v>
      </c>
      <c r="N35" s="129">
        <v>7700</v>
      </c>
      <c r="O35" s="129">
        <v>7696</v>
      </c>
      <c r="P35" s="129">
        <v>1275</v>
      </c>
      <c r="Q35" s="129">
        <v>6091</v>
      </c>
      <c r="R35" s="128">
        <v>0</v>
      </c>
      <c r="S35" s="129">
        <v>1684</v>
      </c>
      <c r="T35" s="129">
        <v>1802</v>
      </c>
      <c r="U35" s="129">
        <v>1699</v>
      </c>
      <c r="V35" s="128">
        <v>0</v>
      </c>
      <c r="W35" s="128">
        <v>0</v>
      </c>
      <c r="X35" s="128">
        <v>0</v>
      </c>
      <c r="Y35" s="128">
        <v>0</v>
      </c>
      <c r="Z35" s="129">
        <v>517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1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S35" s="12">
        <f>SUM(C35:AQ35)</f>
        <v>179182</v>
      </c>
      <c r="AT35" s="12"/>
    </row>
    <row r="36" spans="1:46" ht="12.75" customHeight="1">
      <c r="A36" s="12" t="s">
        <v>109</v>
      </c>
      <c r="B36" s="12"/>
      <c r="C36" s="129">
        <v>1242168</v>
      </c>
      <c r="D36" s="129">
        <v>1566054</v>
      </c>
      <c r="E36" s="129">
        <v>1178193</v>
      </c>
      <c r="F36" s="129">
        <v>345410</v>
      </c>
      <c r="G36" s="129">
        <v>591368</v>
      </c>
      <c r="H36" s="129">
        <v>757260</v>
      </c>
      <c r="I36" s="129">
        <v>1003209</v>
      </c>
      <c r="J36" s="129">
        <v>352807</v>
      </c>
      <c r="K36" s="129">
        <v>381913</v>
      </c>
      <c r="L36" s="129">
        <v>173713</v>
      </c>
      <c r="M36" s="129">
        <v>251475</v>
      </c>
      <c r="N36" s="129">
        <v>302411</v>
      </c>
      <c r="O36" s="129">
        <v>81286</v>
      </c>
      <c r="P36" s="129">
        <v>60100</v>
      </c>
      <c r="Q36" s="129">
        <v>191640</v>
      </c>
      <c r="R36" s="129">
        <v>28345</v>
      </c>
      <c r="S36" s="128">
        <v>0</v>
      </c>
      <c r="T36" s="129">
        <v>80418</v>
      </c>
      <c r="U36" s="129">
        <v>30000</v>
      </c>
      <c r="V36" s="129">
        <v>15927</v>
      </c>
      <c r="W36" s="129">
        <v>192909</v>
      </c>
      <c r="X36" s="129">
        <v>32968</v>
      </c>
      <c r="Y36" s="129">
        <v>21049</v>
      </c>
      <c r="Z36" s="129">
        <v>423392</v>
      </c>
      <c r="AA36" s="129">
        <v>1359</v>
      </c>
      <c r="AB36" s="129">
        <v>1682</v>
      </c>
      <c r="AC36" s="129">
        <v>4991</v>
      </c>
      <c r="AD36" s="129">
        <v>72125</v>
      </c>
      <c r="AE36" s="129">
        <v>1072</v>
      </c>
      <c r="AF36" s="129">
        <v>15279</v>
      </c>
      <c r="AG36" s="129">
        <v>1110</v>
      </c>
      <c r="AH36" s="129">
        <v>2622</v>
      </c>
      <c r="AI36" s="129">
        <v>70542</v>
      </c>
      <c r="AJ36" s="129">
        <v>346</v>
      </c>
      <c r="AK36" s="129">
        <v>102372</v>
      </c>
      <c r="AL36" s="129">
        <v>4690</v>
      </c>
      <c r="AM36" s="129">
        <v>48760</v>
      </c>
      <c r="AN36" s="129">
        <v>14385</v>
      </c>
      <c r="AO36" s="129">
        <v>11696</v>
      </c>
      <c r="AP36" s="129">
        <v>61880</v>
      </c>
      <c r="AQ36" s="129">
        <v>13944</v>
      </c>
      <c r="AS36" s="12">
        <f>SUM(C36:AQ36)</f>
        <v>9732870</v>
      </c>
      <c r="AT36" s="12"/>
    </row>
    <row r="37" spans="1:46" ht="12.75" customHeight="1">
      <c r="A37" s="12" t="s">
        <v>110</v>
      </c>
      <c r="B37" s="12"/>
      <c r="C37" s="128">
        <v>0</v>
      </c>
      <c r="D37" s="129">
        <v>0</v>
      </c>
      <c r="E37" s="128">
        <v>0</v>
      </c>
      <c r="F37" s="128">
        <v>0</v>
      </c>
      <c r="G37" s="128">
        <v>0</v>
      </c>
      <c r="H37" s="129">
        <v>0</v>
      </c>
      <c r="I37" s="128">
        <v>0</v>
      </c>
      <c r="J37" s="128">
        <v>0</v>
      </c>
      <c r="K37" s="128">
        <v>0</v>
      </c>
      <c r="L37" s="129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9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9">
        <v>517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128">
        <v>0</v>
      </c>
      <c r="AN37" s="128">
        <v>0</v>
      </c>
      <c r="AO37" s="128">
        <v>0</v>
      </c>
      <c r="AP37" s="128">
        <v>0</v>
      </c>
      <c r="AQ37" s="128">
        <v>0</v>
      </c>
      <c r="AS37" s="12">
        <f>SUM(C37:AQ37)</f>
        <v>517</v>
      </c>
      <c r="AT37" s="12"/>
    </row>
    <row r="38" spans="1:46" ht="12.75" customHeight="1">
      <c r="A38" s="19" t="s">
        <v>111</v>
      </c>
      <c r="B38" s="19"/>
      <c r="C38" s="128">
        <f aca="true" t="shared" si="4" ref="C38:AJ38">SUM(C35:C37)</f>
        <v>1257326</v>
      </c>
      <c r="D38" s="128">
        <f t="shared" si="4"/>
        <v>1622292</v>
      </c>
      <c r="E38" s="128">
        <f t="shared" si="4"/>
        <v>1219835</v>
      </c>
      <c r="F38" s="128">
        <f t="shared" si="4"/>
        <v>350038</v>
      </c>
      <c r="G38" s="128">
        <f t="shared" si="4"/>
        <v>591368</v>
      </c>
      <c r="H38" s="128">
        <f t="shared" si="4"/>
        <v>779012</v>
      </c>
      <c r="I38" s="128">
        <f t="shared" si="4"/>
        <v>1003209</v>
      </c>
      <c r="J38" s="128">
        <f t="shared" si="4"/>
        <v>356591</v>
      </c>
      <c r="K38" s="128">
        <f t="shared" si="4"/>
        <v>385728</v>
      </c>
      <c r="L38" s="128">
        <f t="shared" si="4"/>
        <v>176265</v>
      </c>
      <c r="M38" s="128">
        <f t="shared" si="4"/>
        <v>252624</v>
      </c>
      <c r="N38" s="128">
        <f t="shared" si="4"/>
        <v>310111</v>
      </c>
      <c r="O38" s="128">
        <f t="shared" si="4"/>
        <v>88982</v>
      </c>
      <c r="P38" s="128">
        <f t="shared" si="4"/>
        <v>61375</v>
      </c>
      <c r="Q38" s="128">
        <f t="shared" si="4"/>
        <v>197731</v>
      </c>
      <c r="R38" s="128">
        <f t="shared" si="4"/>
        <v>28345</v>
      </c>
      <c r="S38" s="128">
        <f t="shared" si="4"/>
        <v>1684</v>
      </c>
      <c r="T38" s="128">
        <f t="shared" si="4"/>
        <v>82220</v>
      </c>
      <c r="U38" s="128">
        <f t="shared" si="4"/>
        <v>31699</v>
      </c>
      <c r="V38" s="128">
        <f t="shared" si="4"/>
        <v>15927</v>
      </c>
      <c r="W38" s="128">
        <f t="shared" si="4"/>
        <v>192909</v>
      </c>
      <c r="X38" s="128">
        <f t="shared" si="4"/>
        <v>32968</v>
      </c>
      <c r="Y38" s="128">
        <f t="shared" si="4"/>
        <v>21049</v>
      </c>
      <c r="Z38" s="128">
        <f t="shared" si="4"/>
        <v>423909</v>
      </c>
      <c r="AA38" s="128">
        <f t="shared" si="4"/>
        <v>1359</v>
      </c>
      <c r="AB38" s="128">
        <f t="shared" si="4"/>
        <v>1682</v>
      </c>
      <c r="AC38" s="128">
        <f t="shared" si="4"/>
        <v>5508</v>
      </c>
      <c r="AD38" s="128">
        <f t="shared" si="4"/>
        <v>72125</v>
      </c>
      <c r="AE38" s="128">
        <f t="shared" si="4"/>
        <v>1072</v>
      </c>
      <c r="AF38" s="128">
        <f t="shared" si="4"/>
        <v>15279</v>
      </c>
      <c r="AG38" s="128">
        <f t="shared" si="4"/>
        <v>1110</v>
      </c>
      <c r="AH38" s="128">
        <f t="shared" si="4"/>
        <v>2622</v>
      </c>
      <c r="AI38" s="128">
        <f t="shared" si="4"/>
        <v>70542</v>
      </c>
      <c r="AJ38" s="128">
        <f t="shared" si="4"/>
        <v>346</v>
      </c>
      <c r="AK38" s="128">
        <f>SUM(AK36:AK37)</f>
        <v>102372</v>
      </c>
      <c r="AL38" s="128">
        <f aca="true" t="shared" si="5" ref="AL38:AQ38">SUM(AL35:AL37)</f>
        <v>4690</v>
      </c>
      <c r="AM38" s="128">
        <f t="shared" si="5"/>
        <v>48760</v>
      </c>
      <c r="AN38" s="128">
        <f t="shared" si="5"/>
        <v>14385</v>
      </c>
      <c r="AO38" s="128">
        <f t="shared" si="5"/>
        <v>11696</v>
      </c>
      <c r="AP38" s="128">
        <f t="shared" si="5"/>
        <v>61880</v>
      </c>
      <c r="AQ38" s="128">
        <f t="shared" si="5"/>
        <v>13944</v>
      </c>
      <c r="AR38" s="128"/>
      <c r="AS38" s="128">
        <f>SUM(AS35:AS37)</f>
        <v>9912569</v>
      </c>
      <c r="AT38" s="12"/>
    </row>
    <row r="39" spans="1:46" ht="12.75" customHeight="1">
      <c r="A39" s="4"/>
      <c r="B39" s="4"/>
      <c r="C39" s="128"/>
      <c r="D39" s="129"/>
      <c r="E39" s="128"/>
      <c r="F39" s="128"/>
      <c r="G39" s="128"/>
      <c r="H39" s="129"/>
      <c r="I39" s="128"/>
      <c r="J39" s="128"/>
      <c r="K39" s="128"/>
      <c r="L39" s="129"/>
      <c r="M39" s="128"/>
      <c r="N39" s="128"/>
      <c r="O39" s="128"/>
      <c r="P39" s="128"/>
      <c r="Q39" s="128"/>
      <c r="R39" s="128"/>
      <c r="S39" s="128"/>
      <c r="T39" s="128"/>
      <c r="U39" s="129"/>
      <c r="V39" s="128"/>
      <c r="W39" s="128"/>
      <c r="X39" s="128"/>
      <c r="Y39" s="128"/>
      <c r="Z39" s="128"/>
      <c r="AA39" s="128"/>
      <c r="AB39" s="128"/>
      <c r="AC39" s="129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S39" s="12"/>
      <c r="AT39" s="12"/>
    </row>
    <row r="40" spans="1:46" ht="12.75" customHeight="1">
      <c r="A40" s="12" t="s">
        <v>494</v>
      </c>
      <c r="B40" s="12"/>
      <c r="C40" s="128">
        <v>0</v>
      </c>
      <c r="D40" s="129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9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S40" s="12">
        <f>SUM(C40:AQ40)</f>
        <v>0</v>
      </c>
      <c r="AT40" s="12"/>
    </row>
    <row r="41" spans="1:46" ht="12.75" customHeight="1">
      <c r="A41" s="12"/>
      <c r="B41" s="12"/>
      <c r="C41" s="128"/>
      <c r="D41" s="129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9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S41" s="12"/>
      <c r="AT41" s="12"/>
    </row>
    <row r="42" spans="1:46" ht="12.75" customHeight="1">
      <c r="A42" s="8" t="s">
        <v>489</v>
      </c>
      <c r="B42" s="8"/>
      <c r="C42" s="128">
        <f aca="true" t="shared" si="6" ref="C42:AQ42">+C7+C26+C32+C38+C40</f>
        <v>284445938</v>
      </c>
      <c r="D42" s="128">
        <f t="shared" si="6"/>
        <v>240599556</v>
      </c>
      <c r="E42" s="128">
        <f t="shared" si="6"/>
        <v>218053764</v>
      </c>
      <c r="F42" s="128">
        <f t="shared" si="6"/>
        <v>95057979</v>
      </c>
      <c r="G42" s="128">
        <f t="shared" si="6"/>
        <v>83342348</v>
      </c>
      <c r="H42" s="128">
        <f t="shared" si="6"/>
        <v>75126111</v>
      </c>
      <c r="I42" s="128">
        <f t="shared" si="6"/>
        <v>59800978</v>
      </c>
      <c r="J42" s="128">
        <f t="shared" si="6"/>
        <v>57202583</v>
      </c>
      <c r="K42" s="128">
        <f t="shared" si="6"/>
        <v>50944858</v>
      </c>
      <c r="L42" s="128">
        <f t="shared" si="6"/>
        <v>49586421</v>
      </c>
      <c r="M42" s="128">
        <f t="shared" si="6"/>
        <v>35121866</v>
      </c>
      <c r="N42" s="128">
        <f t="shared" si="6"/>
        <v>27513788</v>
      </c>
      <c r="O42" s="128">
        <f t="shared" si="6"/>
        <v>27224480</v>
      </c>
      <c r="P42" s="128">
        <f t="shared" si="6"/>
        <v>26559314</v>
      </c>
      <c r="Q42" s="128">
        <f t="shared" si="6"/>
        <v>22879687</v>
      </c>
      <c r="R42" s="128">
        <f t="shared" si="6"/>
        <v>22563435</v>
      </c>
      <c r="S42" s="128">
        <f t="shared" si="6"/>
        <v>22367837</v>
      </c>
      <c r="T42" s="128">
        <f t="shared" si="6"/>
        <v>21608316</v>
      </c>
      <c r="U42" s="128">
        <f t="shared" si="6"/>
        <v>20946933</v>
      </c>
      <c r="V42" s="128">
        <f t="shared" si="6"/>
        <v>14131890</v>
      </c>
      <c r="W42" s="128">
        <f t="shared" si="6"/>
        <v>13262544</v>
      </c>
      <c r="X42" s="128">
        <f t="shared" si="6"/>
        <v>11972512</v>
      </c>
      <c r="Y42" s="128">
        <f t="shared" si="6"/>
        <v>7077174</v>
      </c>
      <c r="Z42" s="128">
        <f t="shared" si="6"/>
        <v>3883469</v>
      </c>
      <c r="AA42" s="128">
        <f t="shared" si="6"/>
        <v>3828542</v>
      </c>
      <c r="AB42" s="128">
        <f t="shared" si="6"/>
        <v>2889366</v>
      </c>
      <c r="AC42" s="128">
        <f t="shared" si="6"/>
        <v>2543286</v>
      </c>
      <c r="AD42" s="128">
        <f t="shared" si="6"/>
        <v>2432593</v>
      </c>
      <c r="AE42" s="128">
        <f t="shared" si="6"/>
        <v>2382635</v>
      </c>
      <c r="AF42" s="128">
        <f t="shared" si="6"/>
        <v>2186980</v>
      </c>
      <c r="AG42" s="128">
        <f t="shared" si="6"/>
        <v>1769815</v>
      </c>
      <c r="AH42" s="128">
        <f t="shared" si="6"/>
        <v>1210212</v>
      </c>
      <c r="AI42" s="128">
        <f t="shared" si="6"/>
        <v>803064</v>
      </c>
      <c r="AJ42" s="128">
        <f t="shared" si="6"/>
        <v>778769</v>
      </c>
      <c r="AK42" s="128">
        <f t="shared" si="6"/>
        <v>723893</v>
      </c>
      <c r="AL42" s="128">
        <f t="shared" si="6"/>
        <v>547160</v>
      </c>
      <c r="AM42" s="128">
        <f t="shared" si="6"/>
        <v>470205</v>
      </c>
      <c r="AN42" s="128">
        <f t="shared" si="6"/>
        <v>455414</v>
      </c>
      <c r="AO42" s="128">
        <f t="shared" si="6"/>
        <v>448770</v>
      </c>
      <c r="AP42" s="128">
        <f t="shared" si="6"/>
        <v>64524</v>
      </c>
      <c r="AQ42" s="128">
        <f t="shared" si="6"/>
        <v>42744</v>
      </c>
      <c r="AR42" s="128"/>
      <c r="AS42" s="128">
        <f>+AS7+AS26+AS32+AS38+AS40</f>
        <v>1514851753</v>
      </c>
      <c r="AT42" s="12"/>
    </row>
    <row r="43" spans="1:46" ht="12.75" customHeight="1">
      <c r="A43" s="6"/>
      <c r="B43" s="6"/>
      <c r="C43" s="128"/>
      <c r="D43" s="129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S43" s="12"/>
      <c r="AT43" s="12"/>
    </row>
    <row r="44" spans="1:46" ht="12.75" customHeight="1">
      <c r="A44" s="4" t="s">
        <v>490</v>
      </c>
      <c r="B44" s="4"/>
      <c r="C44" s="128"/>
      <c r="D44" s="129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9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S44" s="12"/>
      <c r="AT44" s="12"/>
    </row>
    <row r="45" spans="1:46" ht="12.75" customHeight="1">
      <c r="A45" s="6"/>
      <c r="B45" s="6"/>
      <c r="C45" s="128"/>
      <c r="D45" s="129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S45" s="12"/>
      <c r="AT45" s="12"/>
    </row>
    <row r="46" spans="1:46" ht="12.75" customHeight="1">
      <c r="A46" s="6" t="s">
        <v>495</v>
      </c>
      <c r="B46" s="6"/>
      <c r="C46" s="129">
        <v>62201</v>
      </c>
      <c r="D46" s="129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9">
        <v>0</v>
      </c>
      <c r="M46" s="128">
        <v>0</v>
      </c>
      <c r="N46" s="128">
        <v>0</v>
      </c>
      <c r="O46" s="129">
        <v>6169</v>
      </c>
      <c r="P46" s="128">
        <v>0</v>
      </c>
      <c r="Q46" s="128">
        <v>0</v>
      </c>
      <c r="R46" s="128">
        <v>0</v>
      </c>
      <c r="S46" s="129">
        <v>5638</v>
      </c>
      <c r="T46" s="128">
        <v>0</v>
      </c>
      <c r="U46" s="129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S46" s="12">
        <f>SUM(C46:AQ46)</f>
        <v>74008</v>
      </c>
      <c r="AT46" s="12"/>
    </row>
    <row r="47" spans="1:46" ht="12.75" customHeight="1">
      <c r="A47" s="6"/>
      <c r="B47" s="6"/>
      <c r="C47" s="129"/>
      <c r="D47" s="129"/>
      <c r="E47" s="128"/>
      <c r="F47" s="128"/>
      <c r="G47" s="128"/>
      <c r="H47" s="128"/>
      <c r="I47" s="128"/>
      <c r="J47" s="128"/>
      <c r="K47" s="128"/>
      <c r="L47" s="129"/>
      <c r="M47" s="128"/>
      <c r="N47" s="128"/>
      <c r="O47" s="129"/>
      <c r="P47" s="128"/>
      <c r="Q47" s="128"/>
      <c r="R47" s="128"/>
      <c r="S47" s="129"/>
      <c r="T47" s="128"/>
      <c r="U47" s="129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S47" s="12"/>
      <c r="AT47" s="12"/>
    </row>
    <row r="48" spans="1:46" ht="12.75" customHeight="1">
      <c r="A48" s="6" t="s">
        <v>301</v>
      </c>
      <c r="B48" s="6"/>
      <c r="C48" s="129"/>
      <c r="D48" s="129"/>
      <c r="E48" s="128"/>
      <c r="F48" s="128"/>
      <c r="G48" s="128"/>
      <c r="H48" s="128"/>
      <c r="I48" s="128"/>
      <c r="J48" s="128"/>
      <c r="K48" s="128"/>
      <c r="L48" s="129"/>
      <c r="M48" s="128"/>
      <c r="N48" s="128"/>
      <c r="O48" s="129"/>
      <c r="P48" s="128"/>
      <c r="Q48" s="128"/>
      <c r="R48" s="128"/>
      <c r="S48" s="129"/>
      <c r="T48" s="128"/>
      <c r="U48" s="129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S48" s="12"/>
      <c r="AT48" s="12"/>
    </row>
    <row r="49" spans="1:46" ht="12.75" customHeight="1">
      <c r="A49" s="12" t="s">
        <v>117</v>
      </c>
      <c r="B49" s="12"/>
      <c r="C49" s="128">
        <v>0</v>
      </c>
      <c r="D49" s="129">
        <v>0</v>
      </c>
      <c r="E49" s="129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9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9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8">
        <v>0</v>
      </c>
      <c r="AI49" s="128">
        <v>0</v>
      </c>
      <c r="AJ49" s="128">
        <v>0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S49" s="12">
        <f>SUM(C49:AQ49)</f>
        <v>0</v>
      </c>
      <c r="AT49" s="12"/>
    </row>
    <row r="50" spans="1:46" ht="12.75" customHeight="1">
      <c r="A50" s="12" t="s">
        <v>118</v>
      </c>
      <c r="B50" s="12"/>
      <c r="C50" s="128">
        <v>0</v>
      </c>
      <c r="D50" s="129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9">
        <v>718409</v>
      </c>
      <c r="K50" s="128">
        <v>0</v>
      </c>
      <c r="L50" s="129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9">
        <v>38445</v>
      </c>
      <c r="S50" s="129">
        <v>42469</v>
      </c>
      <c r="T50" s="128">
        <v>0</v>
      </c>
      <c r="U50" s="129">
        <v>0</v>
      </c>
      <c r="V50" s="128">
        <v>0</v>
      </c>
      <c r="W50" s="128">
        <v>0</v>
      </c>
      <c r="X50" s="129">
        <v>79941</v>
      </c>
      <c r="Y50" s="129">
        <v>13174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S50" s="12">
        <f>SUM(C50:AQ50)</f>
        <v>892438</v>
      </c>
      <c r="AT50" s="12"/>
    </row>
    <row r="51" spans="1:46" ht="12.75" customHeight="1">
      <c r="A51" s="6" t="s">
        <v>119</v>
      </c>
      <c r="B51" s="6"/>
      <c r="C51" s="128">
        <v>0</v>
      </c>
      <c r="D51" s="129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9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9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S51" s="12">
        <f>SUM(C51:AQ51)</f>
        <v>0</v>
      </c>
      <c r="AT51" s="12"/>
    </row>
    <row r="52" spans="1:46" ht="12.75" customHeight="1">
      <c r="A52" s="12" t="s">
        <v>120</v>
      </c>
      <c r="B52" s="12"/>
      <c r="C52" s="129">
        <v>2123812</v>
      </c>
      <c r="D52" s="129">
        <v>250668</v>
      </c>
      <c r="E52" s="129">
        <v>2642488</v>
      </c>
      <c r="F52" s="129">
        <v>6666290</v>
      </c>
      <c r="G52" s="129">
        <v>99795</v>
      </c>
      <c r="H52" s="129">
        <v>415899</v>
      </c>
      <c r="I52" s="129">
        <v>187050</v>
      </c>
      <c r="J52" s="129">
        <v>52443</v>
      </c>
      <c r="K52" s="129">
        <v>20220</v>
      </c>
      <c r="L52" s="129">
        <v>952119</v>
      </c>
      <c r="M52" s="129">
        <v>302077</v>
      </c>
      <c r="N52" s="129">
        <v>55644</v>
      </c>
      <c r="O52" s="128">
        <v>0</v>
      </c>
      <c r="P52" s="129">
        <v>590955</v>
      </c>
      <c r="Q52" s="129">
        <v>10445</v>
      </c>
      <c r="R52" s="129">
        <v>91751</v>
      </c>
      <c r="S52" s="129">
        <v>171924</v>
      </c>
      <c r="T52" s="129">
        <v>2800</v>
      </c>
      <c r="U52" s="129">
        <v>41565</v>
      </c>
      <c r="V52" s="129">
        <v>43371</v>
      </c>
      <c r="W52" s="129">
        <v>83166</v>
      </c>
      <c r="X52" s="129">
        <v>26815</v>
      </c>
      <c r="Y52" s="128">
        <v>0</v>
      </c>
      <c r="Z52" s="129">
        <v>1432</v>
      </c>
      <c r="AA52" s="129">
        <v>14399</v>
      </c>
      <c r="AB52" s="129">
        <v>3203</v>
      </c>
      <c r="AC52" s="129">
        <v>1254</v>
      </c>
      <c r="AD52" s="129">
        <v>40476</v>
      </c>
      <c r="AE52" s="129">
        <v>4397</v>
      </c>
      <c r="AF52" s="128">
        <v>0</v>
      </c>
      <c r="AG52" s="129">
        <v>3515</v>
      </c>
      <c r="AH52" s="129">
        <v>85388</v>
      </c>
      <c r="AI52" s="129">
        <v>2199</v>
      </c>
      <c r="AJ52" s="129">
        <v>1586</v>
      </c>
      <c r="AK52" s="129">
        <v>30614</v>
      </c>
      <c r="AL52" s="129">
        <v>3346</v>
      </c>
      <c r="AM52" s="128">
        <v>0</v>
      </c>
      <c r="AN52" s="129">
        <v>3985</v>
      </c>
      <c r="AO52" s="129">
        <v>4905</v>
      </c>
      <c r="AP52" s="128">
        <v>0</v>
      </c>
      <c r="AQ52" s="129">
        <v>15273</v>
      </c>
      <c r="AS52" s="12">
        <f>SUM(C52:AQ52)</f>
        <v>15047269</v>
      </c>
      <c r="AT52" s="12"/>
    </row>
    <row r="53" spans="1:46" ht="12.75" customHeight="1">
      <c r="A53" s="19" t="s">
        <v>121</v>
      </c>
      <c r="B53" s="19"/>
      <c r="C53" s="129">
        <f aca="true" t="shared" si="7" ref="C53:AQ53">SUM(C49:C52)</f>
        <v>2123812</v>
      </c>
      <c r="D53" s="129">
        <f t="shared" si="7"/>
        <v>250668</v>
      </c>
      <c r="E53" s="129">
        <f t="shared" si="7"/>
        <v>2642488</v>
      </c>
      <c r="F53" s="129">
        <f t="shared" si="7"/>
        <v>6666290</v>
      </c>
      <c r="G53" s="129">
        <f t="shared" si="7"/>
        <v>99795</v>
      </c>
      <c r="H53" s="129">
        <f t="shared" si="7"/>
        <v>415899</v>
      </c>
      <c r="I53" s="129">
        <f t="shared" si="7"/>
        <v>187050</v>
      </c>
      <c r="J53" s="129">
        <f t="shared" si="7"/>
        <v>770852</v>
      </c>
      <c r="K53" s="129">
        <f t="shared" si="7"/>
        <v>20220</v>
      </c>
      <c r="L53" s="129">
        <f t="shared" si="7"/>
        <v>952119</v>
      </c>
      <c r="M53" s="129">
        <f t="shared" si="7"/>
        <v>302077</v>
      </c>
      <c r="N53" s="129">
        <f t="shared" si="7"/>
        <v>55644</v>
      </c>
      <c r="O53" s="129">
        <f t="shared" si="7"/>
        <v>0</v>
      </c>
      <c r="P53" s="129">
        <f t="shared" si="7"/>
        <v>590955</v>
      </c>
      <c r="Q53" s="129">
        <f t="shared" si="7"/>
        <v>10445</v>
      </c>
      <c r="R53" s="129">
        <f t="shared" si="7"/>
        <v>130196</v>
      </c>
      <c r="S53" s="129">
        <f t="shared" si="7"/>
        <v>214393</v>
      </c>
      <c r="T53" s="129">
        <f t="shared" si="7"/>
        <v>2800</v>
      </c>
      <c r="U53" s="129">
        <f t="shared" si="7"/>
        <v>41565</v>
      </c>
      <c r="V53" s="129">
        <f t="shared" si="7"/>
        <v>43371</v>
      </c>
      <c r="W53" s="129">
        <f t="shared" si="7"/>
        <v>83166</v>
      </c>
      <c r="X53" s="129">
        <f t="shared" si="7"/>
        <v>106756</v>
      </c>
      <c r="Y53" s="129">
        <f t="shared" si="7"/>
        <v>13174</v>
      </c>
      <c r="Z53" s="129">
        <f t="shared" si="7"/>
        <v>1432</v>
      </c>
      <c r="AA53" s="129">
        <f t="shared" si="7"/>
        <v>14399</v>
      </c>
      <c r="AB53" s="129">
        <f t="shared" si="7"/>
        <v>3203</v>
      </c>
      <c r="AC53" s="129">
        <f t="shared" si="7"/>
        <v>1254</v>
      </c>
      <c r="AD53" s="129">
        <f t="shared" si="7"/>
        <v>40476</v>
      </c>
      <c r="AE53" s="129">
        <f t="shared" si="7"/>
        <v>4397</v>
      </c>
      <c r="AF53" s="129">
        <f t="shared" si="7"/>
        <v>0</v>
      </c>
      <c r="AG53" s="129">
        <f t="shared" si="7"/>
        <v>3515</v>
      </c>
      <c r="AH53" s="129">
        <f t="shared" si="7"/>
        <v>85388</v>
      </c>
      <c r="AI53" s="129">
        <f t="shared" si="7"/>
        <v>2199</v>
      </c>
      <c r="AJ53" s="129">
        <f t="shared" si="7"/>
        <v>1586</v>
      </c>
      <c r="AK53" s="129">
        <f t="shared" si="7"/>
        <v>30614</v>
      </c>
      <c r="AL53" s="129">
        <f t="shared" si="7"/>
        <v>3346</v>
      </c>
      <c r="AM53" s="129">
        <f t="shared" si="7"/>
        <v>0</v>
      </c>
      <c r="AN53" s="129">
        <f t="shared" si="7"/>
        <v>3985</v>
      </c>
      <c r="AO53" s="129">
        <f t="shared" si="7"/>
        <v>4905</v>
      </c>
      <c r="AP53" s="129">
        <f t="shared" si="7"/>
        <v>0</v>
      </c>
      <c r="AQ53" s="129">
        <f t="shared" si="7"/>
        <v>15273</v>
      </c>
      <c r="AR53" s="129"/>
      <c r="AS53" s="129">
        <f>SUM(AS49:AS52)</f>
        <v>15939707</v>
      </c>
      <c r="AT53" s="12"/>
    </row>
    <row r="54" spans="1:46" ht="12.75" customHeight="1">
      <c r="A54" s="4"/>
      <c r="B54" s="4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8"/>
      <c r="P54" s="129"/>
      <c r="Q54" s="129"/>
      <c r="R54" s="129"/>
      <c r="S54" s="129"/>
      <c r="T54" s="129"/>
      <c r="U54" s="129"/>
      <c r="V54" s="129"/>
      <c r="W54" s="129"/>
      <c r="X54" s="129"/>
      <c r="Y54" s="128"/>
      <c r="Z54" s="129"/>
      <c r="AA54" s="129"/>
      <c r="AB54" s="129"/>
      <c r="AC54" s="129"/>
      <c r="AD54" s="129"/>
      <c r="AE54" s="129"/>
      <c r="AF54" s="128"/>
      <c r="AG54" s="129"/>
      <c r="AH54" s="129"/>
      <c r="AI54" s="129"/>
      <c r="AJ54" s="129"/>
      <c r="AK54" s="129"/>
      <c r="AL54" s="129"/>
      <c r="AM54" s="128"/>
      <c r="AN54" s="129"/>
      <c r="AO54" s="129"/>
      <c r="AP54" s="128"/>
      <c r="AQ54" s="129"/>
      <c r="AS54" s="12"/>
      <c r="AT54" s="12"/>
    </row>
    <row r="55" spans="1:46" ht="12.75" customHeight="1">
      <c r="A55" s="4" t="s">
        <v>491</v>
      </c>
      <c r="B55" s="4"/>
      <c r="C55" s="128">
        <v>0</v>
      </c>
      <c r="D55" s="129">
        <v>0</v>
      </c>
      <c r="E55" s="128">
        <v>0</v>
      </c>
      <c r="F55" s="129">
        <v>18688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9">
        <v>2691</v>
      </c>
      <c r="S55" s="128">
        <v>0</v>
      </c>
      <c r="T55" s="128">
        <v>0</v>
      </c>
      <c r="U55" s="128">
        <v>0</v>
      </c>
      <c r="V55" s="129">
        <v>530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0</v>
      </c>
      <c r="AL55" s="129">
        <v>6199</v>
      </c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S55" s="12">
        <f>SUM(C55:AQ55)</f>
        <v>28108</v>
      </c>
      <c r="AT55" s="12"/>
    </row>
    <row r="56" spans="1:46" ht="12.75" customHeight="1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S56" s="12"/>
      <c r="AT56" s="12"/>
    </row>
    <row r="57" spans="1:46" ht="12.75" customHeight="1">
      <c r="A57" s="8" t="s">
        <v>496</v>
      </c>
      <c r="B57" s="8"/>
      <c r="C57" s="11">
        <f aca="true" t="shared" si="8" ref="C57:AQ57">+C46+C53+C55</f>
        <v>2186013</v>
      </c>
      <c r="D57" s="11">
        <f t="shared" si="8"/>
        <v>250668</v>
      </c>
      <c r="E57" s="11">
        <f t="shared" si="8"/>
        <v>2642488</v>
      </c>
      <c r="F57" s="11">
        <f t="shared" si="8"/>
        <v>6684978</v>
      </c>
      <c r="G57" s="11">
        <f t="shared" si="8"/>
        <v>99795</v>
      </c>
      <c r="H57" s="11">
        <f t="shared" si="8"/>
        <v>415899</v>
      </c>
      <c r="I57" s="11">
        <f t="shared" si="8"/>
        <v>187050</v>
      </c>
      <c r="J57" s="11">
        <f t="shared" si="8"/>
        <v>770852</v>
      </c>
      <c r="K57" s="11">
        <f t="shared" si="8"/>
        <v>20220</v>
      </c>
      <c r="L57" s="11">
        <f t="shared" si="8"/>
        <v>952119</v>
      </c>
      <c r="M57" s="11">
        <f t="shared" si="8"/>
        <v>302077</v>
      </c>
      <c r="N57" s="11">
        <f t="shared" si="8"/>
        <v>55644</v>
      </c>
      <c r="O57" s="11">
        <f t="shared" si="8"/>
        <v>6169</v>
      </c>
      <c r="P57" s="11">
        <f t="shared" si="8"/>
        <v>590955</v>
      </c>
      <c r="Q57" s="11">
        <f t="shared" si="8"/>
        <v>10445</v>
      </c>
      <c r="R57" s="11">
        <f t="shared" si="8"/>
        <v>132887</v>
      </c>
      <c r="S57" s="11">
        <f t="shared" si="8"/>
        <v>220031</v>
      </c>
      <c r="T57" s="11">
        <f t="shared" si="8"/>
        <v>2800</v>
      </c>
      <c r="U57" s="11">
        <f t="shared" si="8"/>
        <v>41565</v>
      </c>
      <c r="V57" s="11">
        <f t="shared" si="8"/>
        <v>43901</v>
      </c>
      <c r="W57" s="11">
        <f t="shared" si="8"/>
        <v>83166</v>
      </c>
      <c r="X57" s="11">
        <f t="shared" si="8"/>
        <v>106756</v>
      </c>
      <c r="Y57" s="11">
        <f t="shared" si="8"/>
        <v>13174</v>
      </c>
      <c r="Z57" s="11">
        <f t="shared" si="8"/>
        <v>1432</v>
      </c>
      <c r="AA57" s="11">
        <f t="shared" si="8"/>
        <v>14399</v>
      </c>
      <c r="AB57" s="11">
        <f t="shared" si="8"/>
        <v>3203</v>
      </c>
      <c r="AC57" s="11">
        <f t="shared" si="8"/>
        <v>1254</v>
      </c>
      <c r="AD57" s="11">
        <f t="shared" si="8"/>
        <v>40476</v>
      </c>
      <c r="AE57" s="11">
        <f t="shared" si="8"/>
        <v>4397</v>
      </c>
      <c r="AF57" s="11">
        <f t="shared" si="8"/>
        <v>0</v>
      </c>
      <c r="AG57" s="11">
        <f t="shared" si="8"/>
        <v>3515</v>
      </c>
      <c r="AH57" s="11">
        <f t="shared" si="8"/>
        <v>85388</v>
      </c>
      <c r="AI57" s="11">
        <f t="shared" si="8"/>
        <v>2199</v>
      </c>
      <c r="AJ57" s="11">
        <f t="shared" si="8"/>
        <v>1586</v>
      </c>
      <c r="AK57" s="11">
        <f t="shared" si="8"/>
        <v>30614</v>
      </c>
      <c r="AL57" s="11">
        <f t="shared" si="8"/>
        <v>9545</v>
      </c>
      <c r="AM57" s="11">
        <f t="shared" si="8"/>
        <v>0</v>
      </c>
      <c r="AN57" s="11">
        <f t="shared" si="8"/>
        <v>3985</v>
      </c>
      <c r="AO57" s="11">
        <f t="shared" si="8"/>
        <v>4905</v>
      </c>
      <c r="AP57" s="11">
        <f t="shared" si="8"/>
        <v>0</v>
      </c>
      <c r="AQ57" s="11">
        <f t="shared" si="8"/>
        <v>15273</v>
      </c>
      <c r="AR57" s="11"/>
      <c r="AS57" s="11">
        <f>+AS46+AS53+AS55</f>
        <v>16041823</v>
      </c>
      <c r="AT57" s="12"/>
    </row>
    <row r="58" spans="1:46" ht="12.75" customHeight="1">
      <c r="A58" s="4" t="s">
        <v>492</v>
      </c>
      <c r="B58" s="4"/>
      <c r="AB58" s="15"/>
      <c r="AS58" s="12"/>
      <c r="AT58" s="12"/>
    </row>
    <row r="59" spans="1:45" ht="12.75" customHeight="1">
      <c r="A59" s="4" t="s">
        <v>493</v>
      </c>
      <c r="B59" s="4"/>
      <c r="C59" s="52">
        <f aca="true" t="shared" si="9" ref="C59:AQ59">+C42-C57</f>
        <v>282259925</v>
      </c>
      <c r="D59" s="52">
        <f t="shared" si="9"/>
        <v>240348888</v>
      </c>
      <c r="E59" s="52">
        <f t="shared" si="9"/>
        <v>215411276</v>
      </c>
      <c r="F59" s="52">
        <f t="shared" si="9"/>
        <v>88373001</v>
      </c>
      <c r="G59" s="52">
        <f t="shared" si="9"/>
        <v>83242553</v>
      </c>
      <c r="H59" s="52">
        <f t="shared" si="9"/>
        <v>74710212</v>
      </c>
      <c r="I59" s="52">
        <f t="shared" si="9"/>
        <v>59613928</v>
      </c>
      <c r="J59" s="52">
        <f t="shared" si="9"/>
        <v>56431731</v>
      </c>
      <c r="K59" s="52">
        <f t="shared" si="9"/>
        <v>50924638</v>
      </c>
      <c r="L59" s="52">
        <f t="shared" si="9"/>
        <v>48634302</v>
      </c>
      <c r="M59" s="52">
        <f t="shared" si="9"/>
        <v>34819789</v>
      </c>
      <c r="N59" s="52">
        <f t="shared" si="9"/>
        <v>27458144</v>
      </c>
      <c r="O59" s="52">
        <f t="shared" si="9"/>
        <v>27218311</v>
      </c>
      <c r="P59" s="52">
        <f t="shared" si="9"/>
        <v>25968359</v>
      </c>
      <c r="Q59" s="52">
        <f t="shared" si="9"/>
        <v>22869242</v>
      </c>
      <c r="R59" s="52">
        <f t="shared" si="9"/>
        <v>22430548</v>
      </c>
      <c r="S59" s="52">
        <f t="shared" si="9"/>
        <v>22147806</v>
      </c>
      <c r="T59" s="52">
        <f t="shared" si="9"/>
        <v>21605516</v>
      </c>
      <c r="U59" s="52">
        <f t="shared" si="9"/>
        <v>20905368</v>
      </c>
      <c r="V59" s="52">
        <f t="shared" si="9"/>
        <v>14087989</v>
      </c>
      <c r="W59" s="52">
        <f t="shared" si="9"/>
        <v>13179378</v>
      </c>
      <c r="X59" s="52">
        <f t="shared" si="9"/>
        <v>11865756</v>
      </c>
      <c r="Y59" s="52">
        <f t="shared" si="9"/>
        <v>7064000</v>
      </c>
      <c r="Z59" s="52">
        <f t="shared" si="9"/>
        <v>3882037</v>
      </c>
      <c r="AA59" s="52">
        <f t="shared" si="9"/>
        <v>3814143</v>
      </c>
      <c r="AB59" s="52">
        <f t="shared" si="9"/>
        <v>2886163</v>
      </c>
      <c r="AC59" s="52">
        <f t="shared" si="9"/>
        <v>2542032</v>
      </c>
      <c r="AD59" s="52">
        <f t="shared" si="9"/>
        <v>2392117</v>
      </c>
      <c r="AE59" s="52">
        <f t="shared" si="9"/>
        <v>2378238</v>
      </c>
      <c r="AF59" s="52">
        <f t="shared" si="9"/>
        <v>2186980</v>
      </c>
      <c r="AG59" s="52">
        <f t="shared" si="9"/>
        <v>1766300</v>
      </c>
      <c r="AH59" s="52">
        <f t="shared" si="9"/>
        <v>1124824</v>
      </c>
      <c r="AI59" s="52">
        <f t="shared" si="9"/>
        <v>800865</v>
      </c>
      <c r="AJ59" s="52">
        <f t="shared" si="9"/>
        <v>777183</v>
      </c>
      <c r="AK59" s="52">
        <f t="shared" si="9"/>
        <v>693279</v>
      </c>
      <c r="AL59" s="52">
        <f t="shared" si="9"/>
        <v>537615</v>
      </c>
      <c r="AM59" s="52">
        <f t="shared" si="9"/>
        <v>470205</v>
      </c>
      <c r="AN59" s="52">
        <f t="shared" si="9"/>
        <v>451429</v>
      </c>
      <c r="AO59" s="52">
        <f t="shared" si="9"/>
        <v>443865</v>
      </c>
      <c r="AP59" s="52">
        <f t="shared" si="9"/>
        <v>64524</v>
      </c>
      <c r="AQ59" s="52">
        <f t="shared" si="9"/>
        <v>27471</v>
      </c>
      <c r="AR59" s="52"/>
      <c r="AS59" s="12">
        <f>SUM(C59:AQ59)</f>
        <v>1498809930</v>
      </c>
    </row>
    <row r="61" spans="1:45" ht="12.75" customHeight="1">
      <c r="A61" s="228" t="s">
        <v>502</v>
      </c>
      <c r="C61" s="228">
        <f>+C59-'3.1 Yfirlit'!C62</f>
        <v>0</v>
      </c>
      <c r="D61" s="228">
        <f>+D59-'3.1 Yfirlit'!D62</f>
        <v>0</v>
      </c>
      <c r="E61" s="228">
        <f>+E59-'3.1 Yfirlit'!E62</f>
        <v>0</v>
      </c>
      <c r="F61" s="228">
        <f>+F59-'3.1 Yfirlit'!F62</f>
        <v>0</v>
      </c>
      <c r="G61" s="228">
        <f>+G59-'3.1 Yfirlit'!G62</f>
        <v>2</v>
      </c>
      <c r="H61" s="228">
        <f>+H59-'3.1 Yfirlit'!H62</f>
        <v>-3</v>
      </c>
      <c r="I61" s="228">
        <f>+I59-'3.1 Yfirlit'!I62</f>
        <v>0</v>
      </c>
      <c r="J61" s="228">
        <f>+J59-'3.1 Yfirlit'!J62</f>
        <v>0</v>
      </c>
      <c r="K61" s="228">
        <f>+K59-'3.1 Yfirlit'!K62</f>
        <v>0</v>
      </c>
      <c r="L61" s="228">
        <f>+L59-'3.1 Yfirlit'!L62</f>
        <v>-1</v>
      </c>
      <c r="M61" s="228">
        <f>+M59-'3.1 Yfirlit'!M62</f>
        <v>0</v>
      </c>
      <c r="N61" s="228">
        <f>+N59-'3.1 Yfirlit'!N62</f>
        <v>0</v>
      </c>
      <c r="O61" s="228">
        <f>+O59-'3.1 Yfirlit'!O62</f>
        <v>0</v>
      </c>
      <c r="P61" s="228">
        <f>+P59-'3.1 Yfirlit'!P62</f>
        <v>0</v>
      </c>
      <c r="Q61" s="228">
        <f>+Q59-'3.1 Yfirlit'!Q62</f>
        <v>-3</v>
      </c>
      <c r="R61" s="228">
        <f>+R59-'3.1 Yfirlit'!R62</f>
        <v>3</v>
      </c>
      <c r="S61" s="228">
        <f>+S59-'3.1 Yfirlit'!S62</f>
        <v>0</v>
      </c>
      <c r="T61" s="228">
        <f>+T59-'3.1 Yfirlit'!T62</f>
        <v>-1</v>
      </c>
      <c r="U61" s="228">
        <f>+U59-'3.1 Yfirlit'!U62</f>
        <v>0</v>
      </c>
      <c r="V61" s="228">
        <f>+V59-'3.1 Yfirlit'!V62</f>
        <v>0</v>
      </c>
      <c r="W61" s="228">
        <f>+W59-'3.1 Yfirlit'!W62</f>
        <v>-1</v>
      </c>
      <c r="X61" s="228">
        <f>+X59-'3.1 Yfirlit'!X62</f>
        <v>0</v>
      </c>
      <c r="Y61" s="228">
        <f>+Y59-'3.1 Yfirlit'!Y62</f>
        <v>0</v>
      </c>
      <c r="Z61" s="228">
        <f>+Z59-'3.1 Yfirlit'!Z62</f>
        <v>0</v>
      </c>
      <c r="AA61" s="228">
        <f>+AA59-'3.1 Yfirlit'!AA62</f>
        <v>-1</v>
      </c>
      <c r="AB61" s="228">
        <f>+AB59-'3.1 Yfirlit'!AB62</f>
        <v>1</v>
      </c>
      <c r="AC61" s="228">
        <f>+AC59-'3.1 Yfirlit'!AC62</f>
        <v>0</v>
      </c>
      <c r="AD61" s="228">
        <f>+AD59-'3.1 Yfirlit'!AD62</f>
        <v>1</v>
      </c>
      <c r="AE61" s="228">
        <f>+AE59-'3.1 Yfirlit'!AE62</f>
        <v>0</v>
      </c>
      <c r="AF61" s="228">
        <f>+AF59-'3.1 Yfirlit'!AF62</f>
        <v>0</v>
      </c>
      <c r="AG61" s="228">
        <f>+AG59-'3.1 Yfirlit'!AG62</f>
        <v>0</v>
      </c>
      <c r="AH61" s="228">
        <f>+AH59-'3.1 Yfirlit'!AH62</f>
        <v>0</v>
      </c>
      <c r="AI61" s="228">
        <f>+AI59-'3.1 Yfirlit'!AI62</f>
        <v>0</v>
      </c>
      <c r="AJ61" s="228">
        <f>+AJ59-'3.1 Yfirlit'!AJ62</f>
        <v>0</v>
      </c>
      <c r="AK61" s="228">
        <f>+AK59-'3.1 Yfirlit'!AK62</f>
        <v>2</v>
      </c>
      <c r="AL61" s="228">
        <f>+AL59-'3.1 Yfirlit'!AL62</f>
        <v>0</v>
      </c>
      <c r="AM61" s="228">
        <f>+AM59-'3.1 Yfirlit'!AM62</f>
        <v>0</v>
      </c>
      <c r="AN61" s="228">
        <f>+AN59-'3.1 Yfirlit'!AN62</f>
        <v>0</v>
      </c>
      <c r="AO61" s="228">
        <f>+AO59-'3.1 Yfirlit'!AO62</f>
        <v>0</v>
      </c>
      <c r="AP61" s="228">
        <f>+AP59-'3.1 Yfirlit'!AP62</f>
        <v>1</v>
      </c>
      <c r="AQ61" s="228">
        <f>+AQ59-'3.1 Yfirlit'!AQ62</f>
        <v>0</v>
      </c>
      <c r="AR61" s="228"/>
      <c r="AS61" s="228">
        <f>+AS59-'3.1 Yfirlit'!AS62</f>
        <v>0</v>
      </c>
    </row>
  </sheetData>
  <sheetProtection/>
  <mergeCells count="41">
    <mergeCell ref="E1:E3"/>
    <mergeCell ref="R1:R3"/>
    <mergeCell ref="N1:N3"/>
    <mergeCell ref="U1:U3"/>
    <mergeCell ref="H1:H3"/>
    <mergeCell ref="T1:T3"/>
    <mergeCell ref="F1:F3"/>
    <mergeCell ref="K1:K3"/>
    <mergeCell ref="C1:C3"/>
    <mergeCell ref="Z1:Z3"/>
    <mergeCell ref="AE1:AE3"/>
    <mergeCell ref="X1:X3"/>
    <mergeCell ref="S1:S3"/>
    <mergeCell ref="J1:J3"/>
    <mergeCell ref="D1:D3"/>
    <mergeCell ref="P1:P3"/>
    <mergeCell ref="AD1:AD3"/>
    <mergeCell ref="M1:M3"/>
    <mergeCell ref="W1:W3"/>
    <mergeCell ref="G1:G3"/>
    <mergeCell ref="AF1:AF3"/>
    <mergeCell ref="Y1:Y3"/>
    <mergeCell ref="Q1:Q3"/>
    <mergeCell ref="I1:I3"/>
    <mergeCell ref="O1:O3"/>
    <mergeCell ref="AP1:AP3"/>
    <mergeCell ref="AN1:AN3"/>
    <mergeCell ref="AG1:AG3"/>
    <mergeCell ref="AO1:AO3"/>
    <mergeCell ref="AM1:AM3"/>
    <mergeCell ref="AH1:AH3"/>
    <mergeCell ref="AQ1:AQ3"/>
    <mergeCell ref="L1:L3"/>
    <mergeCell ref="V1:V3"/>
    <mergeCell ref="AI1:AI3"/>
    <mergeCell ref="AK1:AK3"/>
    <mergeCell ref="AJ1:AJ3"/>
    <mergeCell ref="AA1:AA3"/>
    <mergeCell ref="AB1:AB3"/>
    <mergeCell ref="AC1:AC3"/>
    <mergeCell ref="AL1:AL3"/>
  </mergeCells>
  <printOptions/>
  <pageMargins left="0.4724409448818898" right="0.31496062992125984" top="0.984251968503937" bottom="0.4724409448818898" header="0.3937007874015748" footer="0.31496062992125984"/>
  <pageSetup firstPageNumber="16" useFirstPageNumber="1" horizontalDpi="600" verticalDpi="600" orientation="portrait" paperSize="9" r:id="rId1"/>
  <headerFooter alignWithMargins="0">
    <oddHeader>&amp;C&amp;"Times New Roman,Bold"&amp;12 3.2. EFNAHAGSREIKNINGAR 31.12.2006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SheetLayoutView="100" zoomScalePageLayoutView="0" workbookViewId="0" topLeftCell="A1">
      <pane xSplit="2" ySplit="4" topLeftCell="C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44" sqref="C44"/>
    </sheetView>
  </sheetViews>
  <sheetFormatPr defaultColWidth="9.140625" defaultRowHeight="12.75" customHeight="1"/>
  <cols>
    <col min="1" max="1" width="22.7109375" style="11" customWidth="1"/>
    <col min="2" max="2" width="0.85546875" style="11" customWidth="1"/>
    <col min="3" max="3" width="9.421875" style="11" customWidth="1"/>
    <col min="4" max="6" width="9.28125" style="11" customWidth="1"/>
    <col min="7" max="7" width="9.28125" style="228" customWidth="1"/>
    <col min="8" max="16" width="9.28125" style="11" customWidth="1"/>
    <col min="17" max="17" width="9.7109375" style="11" customWidth="1"/>
    <col min="18" max="28" width="9.28125" style="11" customWidth="1"/>
    <col min="29" max="29" width="9.7109375" style="11" customWidth="1"/>
    <col min="30" max="31" width="9.28125" style="11" customWidth="1"/>
    <col min="32" max="32" width="10.00390625" style="11" customWidth="1"/>
    <col min="33" max="40" width="9.28125" style="11" customWidth="1"/>
    <col min="41" max="41" width="9.57421875" style="11" customWidth="1"/>
    <col min="42" max="42" width="10.28125" style="11" customWidth="1"/>
    <col min="43" max="43" width="9.28125" style="11" customWidth="1"/>
    <col min="44" max="44" width="5.7109375" style="11" customWidth="1"/>
    <col min="45" max="45" width="10.00390625" style="11" customWidth="1"/>
    <col min="46" max="46" width="11.140625" style="11" customWidth="1"/>
    <col min="47" max="47" width="12.57421875" style="11" customWidth="1"/>
    <col min="48" max="48" width="3.28125" style="11" customWidth="1"/>
    <col min="49" max="16384" width="9.140625" style="11" customWidth="1"/>
  </cols>
  <sheetData>
    <row r="1" spans="2:47" ht="12.75" customHeight="1">
      <c r="B1" s="10"/>
      <c r="C1" s="362" t="s">
        <v>438</v>
      </c>
      <c r="D1" s="362" t="s">
        <v>176</v>
      </c>
      <c r="E1" s="362" t="s">
        <v>25</v>
      </c>
      <c r="F1" s="362" t="s">
        <v>408</v>
      </c>
      <c r="G1" s="362" t="s">
        <v>409</v>
      </c>
      <c r="H1" s="362" t="s">
        <v>33</v>
      </c>
      <c r="I1" s="362" t="s">
        <v>235</v>
      </c>
      <c r="J1" s="362" t="s">
        <v>29</v>
      </c>
      <c r="K1" s="362" t="s">
        <v>2</v>
      </c>
      <c r="L1" s="362" t="s">
        <v>24</v>
      </c>
      <c r="M1" s="362" t="s">
        <v>3</v>
      </c>
      <c r="N1" s="362" t="s">
        <v>27</v>
      </c>
      <c r="O1" s="362" t="s">
        <v>31</v>
      </c>
      <c r="P1" s="362" t="s">
        <v>32</v>
      </c>
      <c r="Q1" s="362" t="s">
        <v>486</v>
      </c>
      <c r="R1" s="362" t="s">
        <v>410</v>
      </c>
      <c r="S1" s="362" t="s">
        <v>165</v>
      </c>
      <c r="T1" s="362" t="s">
        <v>244</v>
      </c>
      <c r="U1" s="362" t="s">
        <v>28</v>
      </c>
      <c r="V1" s="362" t="s">
        <v>159</v>
      </c>
      <c r="W1" s="362" t="s">
        <v>172</v>
      </c>
      <c r="X1" s="362" t="s">
        <v>241</v>
      </c>
      <c r="Y1" s="362" t="s">
        <v>419</v>
      </c>
      <c r="Z1" s="362" t="s">
        <v>30</v>
      </c>
      <c r="AA1" s="362" t="s">
        <v>503</v>
      </c>
      <c r="AB1" s="362" t="s">
        <v>504</v>
      </c>
      <c r="AC1" s="362" t="s">
        <v>501</v>
      </c>
      <c r="AD1" s="362" t="s">
        <v>171</v>
      </c>
      <c r="AE1" s="362" t="s">
        <v>168</v>
      </c>
      <c r="AF1" s="362" t="s">
        <v>160</v>
      </c>
      <c r="AG1" s="362" t="s">
        <v>499</v>
      </c>
      <c r="AH1" s="362" t="s">
        <v>163</v>
      </c>
      <c r="AI1" s="362" t="s">
        <v>4</v>
      </c>
      <c r="AJ1" s="362" t="s">
        <v>161</v>
      </c>
      <c r="AK1" s="362" t="s">
        <v>5</v>
      </c>
      <c r="AL1" s="362" t="s">
        <v>423</v>
      </c>
      <c r="AM1" s="362" t="s">
        <v>6</v>
      </c>
      <c r="AN1" s="362" t="s">
        <v>169</v>
      </c>
      <c r="AO1" s="362" t="s">
        <v>240</v>
      </c>
      <c r="AP1" s="362" t="s">
        <v>174</v>
      </c>
      <c r="AQ1" s="362" t="s">
        <v>420</v>
      </c>
      <c r="AR1" s="291"/>
      <c r="AS1" s="13" t="s">
        <v>411</v>
      </c>
      <c r="AT1" s="10"/>
      <c r="AU1" s="10"/>
    </row>
    <row r="2" spans="2:47" ht="12.75" customHeight="1">
      <c r="B2" s="6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291"/>
      <c r="AS2" s="13" t="s">
        <v>9</v>
      </c>
      <c r="AT2" s="10"/>
      <c r="AU2" s="10"/>
    </row>
    <row r="3" spans="1:47" ht="12.75" customHeight="1">
      <c r="A3" s="6" t="s">
        <v>8</v>
      </c>
      <c r="B3" s="10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291"/>
      <c r="AS3" s="13" t="s">
        <v>12</v>
      </c>
      <c r="AT3" s="10"/>
      <c r="AU3" s="10"/>
    </row>
    <row r="4" spans="1:47" ht="12.75" customHeight="1">
      <c r="A4" s="10"/>
      <c r="B4" s="10"/>
      <c r="C4" s="332" t="s">
        <v>544</v>
      </c>
      <c r="D4" s="332" t="s">
        <v>578</v>
      </c>
      <c r="E4" s="332" t="s">
        <v>555</v>
      </c>
      <c r="F4" s="332" t="s">
        <v>582</v>
      </c>
      <c r="G4" s="332" t="s">
        <v>545</v>
      </c>
      <c r="H4" s="332" t="s">
        <v>584</v>
      </c>
      <c r="I4" s="332" t="s">
        <v>554</v>
      </c>
      <c r="J4" s="332" t="s">
        <v>566</v>
      </c>
      <c r="K4" s="332" t="s">
        <v>583</v>
      </c>
      <c r="L4" s="332" t="s">
        <v>553</v>
      </c>
      <c r="M4" s="332" t="s">
        <v>560</v>
      </c>
      <c r="N4" s="332" t="s">
        <v>558</v>
      </c>
      <c r="O4" s="332" t="s">
        <v>577</v>
      </c>
      <c r="P4" s="332" t="s">
        <v>579</v>
      </c>
      <c r="Q4" s="332" t="s">
        <v>574</v>
      </c>
      <c r="R4" s="332" t="s">
        <v>556</v>
      </c>
      <c r="S4" s="332" t="s">
        <v>563</v>
      </c>
      <c r="T4" s="332" t="s">
        <v>580</v>
      </c>
      <c r="U4" s="332" t="s">
        <v>559</v>
      </c>
      <c r="V4" s="332" t="s">
        <v>546</v>
      </c>
      <c r="W4" s="332" t="s">
        <v>573</v>
      </c>
      <c r="X4" s="332" t="s">
        <v>570</v>
      </c>
      <c r="Y4" s="332" t="s">
        <v>549</v>
      </c>
      <c r="Z4" s="332" t="s">
        <v>567</v>
      </c>
      <c r="AA4" s="332" t="s">
        <v>561</v>
      </c>
      <c r="AB4" s="332" t="s">
        <v>562</v>
      </c>
      <c r="AC4" s="332" t="s">
        <v>576</v>
      </c>
      <c r="AD4" s="332" t="s">
        <v>572</v>
      </c>
      <c r="AE4" s="332" t="s">
        <v>569</v>
      </c>
      <c r="AF4" s="332" t="s">
        <v>550</v>
      </c>
      <c r="AG4" s="332" t="s">
        <v>564</v>
      </c>
      <c r="AH4" s="332" t="s">
        <v>557</v>
      </c>
      <c r="AI4" s="332" t="s">
        <v>547</v>
      </c>
      <c r="AJ4" s="332" t="s">
        <v>551</v>
      </c>
      <c r="AK4" s="332" t="s">
        <v>548</v>
      </c>
      <c r="AL4" s="332" t="s">
        <v>568</v>
      </c>
      <c r="AM4" s="332" t="s">
        <v>581</v>
      </c>
      <c r="AN4" s="332" t="s">
        <v>571</v>
      </c>
      <c r="AO4" s="332" t="s">
        <v>565</v>
      </c>
      <c r="AP4" s="332" t="s">
        <v>575</v>
      </c>
      <c r="AQ4" s="332" t="s">
        <v>552</v>
      </c>
      <c r="AR4" s="291"/>
      <c r="AS4" s="10"/>
      <c r="AT4" s="10"/>
      <c r="AU4" s="10"/>
    </row>
    <row r="5" spans="1:48" ht="12.75" customHeight="1">
      <c r="A5" s="4" t="s">
        <v>125</v>
      </c>
      <c r="B5" s="4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12"/>
      <c r="AS5" s="12"/>
      <c r="AT5" s="12"/>
      <c r="AU5" s="12"/>
      <c r="AV5" s="12"/>
    </row>
    <row r="6" spans="1:48" ht="12.75" customHeight="1">
      <c r="A6" s="6" t="s">
        <v>126</v>
      </c>
      <c r="B6" s="6"/>
      <c r="C6" s="293">
        <v>25778715</v>
      </c>
      <c r="D6" s="293">
        <v>12453091</v>
      </c>
      <c r="E6" s="293">
        <v>7986418</v>
      </c>
      <c r="F6" s="293">
        <v>4429059</v>
      </c>
      <c r="G6" s="293">
        <v>7383859</v>
      </c>
      <c r="H6" s="293">
        <v>3292087</v>
      </c>
      <c r="I6" s="293">
        <v>4305644</v>
      </c>
      <c r="J6" s="293">
        <v>2397461</v>
      </c>
      <c r="K6" s="293">
        <v>1987845</v>
      </c>
      <c r="L6" s="293">
        <v>2823092</v>
      </c>
      <c r="M6" s="293">
        <v>2780246</v>
      </c>
      <c r="N6" s="293">
        <v>2167877</v>
      </c>
      <c r="O6" s="293">
        <v>1947437</v>
      </c>
      <c r="P6" s="293">
        <v>695756</v>
      </c>
      <c r="Q6" s="293">
        <v>3582769</v>
      </c>
      <c r="R6" s="293">
        <v>4754731</v>
      </c>
      <c r="S6" s="293">
        <v>1073507</v>
      </c>
      <c r="T6" s="293">
        <v>587325</v>
      </c>
      <c r="U6" s="293">
        <v>419636</v>
      </c>
      <c r="V6" s="293">
        <v>814320</v>
      </c>
      <c r="W6" s="293">
        <v>2027137</v>
      </c>
      <c r="X6" s="293">
        <v>93721</v>
      </c>
      <c r="Y6" s="293">
        <v>176165</v>
      </c>
      <c r="Z6" s="293">
        <v>166619</v>
      </c>
      <c r="AA6" s="294">
        <v>0</v>
      </c>
      <c r="AB6" s="294">
        <v>0</v>
      </c>
      <c r="AC6" s="293">
        <v>105227</v>
      </c>
      <c r="AD6" s="293">
        <v>100584</v>
      </c>
      <c r="AE6" s="293">
        <v>157267</v>
      </c>
      <c r="AF6" s="293">
        <v>74755</v>
      </c>
      <c r="AG6" s="293">
        <v>18988</v>
      </c>
      <c r="AH6" s="293">
        <v>17099</v>
      </c>
      <c r="AI6" s="293">
        <v>39884</v>
      </c>
      <c r="AJ6" s="294">
        <v>0</v>
      </c>
      <c r="AK6" s="294">
        <v>0</v>
      </c>
      <c r="AL6" s="293">
        <v>-186</v>
      </c>
      <c r="AM6" s="294">
        <v>0</v>
      </c>
      <c r="AN6" s="293">
        <v>40810</v>
      </c>
      <c r="AO6" s="293">
        <v>264360</v>
      </c>
      <c r="AP6" s="293">
        <v>48919</v>
      </c>
      <c r="AQ6" s="293">
        <v>128500</v>
      </c>
      <c r="AR6" s="15"/>
      <c r="AS6" s="12">
        <f>SUM(C6:AQ6)</f>
        <v>95120724</v>
      </c>
      <c r="AT6" s="12"/>
      <c r="AU6" s="12"/>
      <c r="AV6" s="15"/>
    </row>
    <row r="7" spans="1:48" ht="12.75" customHeight="1">
      <c r="A7" s="6" t="s">
        <v>127</v>
      </c>
      <c r="B7" s="6"/>
      <c r="C7" s="293">
        <v>3021709</v>
      </c>
      <c r="D7" s="293">
        <v>10175526</v>
      </c>
      <c r="E7" s="293">
        <v>4977338</v>
      </c>
      <c r="F7" s="293">
        <v>2263192</v>
      </c>
      <c r="G7" s="293">
        <v>950862</v>
      </c>
      <c r="H7" s="293">
        <v>2721823</v>
      </c>
      <c r="I7" s="293">
        <v>8606818</v>
      </c>
      <c r="J7" s="293">
        <v>1269870</v>
      </c>
      <c r="K7" s="293">
        <v>904998</v>
      </c>
      <c r="L7" s="293">
        <v>1184263</v>
      </c>
      <c r="M7" s="293">
        <v>597812</v>
      </c>
      <c r="N7" s="293">
        <v>249528</v>
      </c>
      <c r="O7" s="293">
        <v>687093</v>
      </c>
      <c r="P7" s="293">
        <v>904718</v>
      </c>
      <c r="Q7" s="293">
        <v>633503</v>
      </c>
      <c r="R7" s="293">
        <v>356346</v>
      </c>
      <c r="S7" s="293">
        <v>154972</v>
      </c>
      <c r="T7" s="293">
        <v>508111</v>
      </c>
      <c r="U7" s="293">
        <v>251214</v>
      </c>
      <c r="V7" s="294">
        <v>0</v>
      </c>
      <c r="W7" s="293">
        <v>742856</v>
      </c>
      <c r="X7" s="293">
        <v>63553</v>
      </c>
      <c r="Y7" s="293">
        <v>64719</v>
      </c>
      <c r="Z7" s="293">
        <v>152625</v>
      </c>
      <c r="AA7" s="293">
        <v>63072</v>
      </c>
      <c r="AB7" s="293">
        <v>15162</v>
      </c>
      <c r="AC7" s="293">
        <v>5784</v>
      </c>
      <c r="AD7" s="293">
        <v>101839</v>
      </c>
      <c r="AE7" s="293">
        <v>119542</v>
      </c>
      <c r="AF7" s="293">
        <v>216015</v>
      </c>
      <c r="AG7" s="293">
        <v>-2793</v>
      </c>
      <c r="AH7" s="293">
        <v>810</v>
      </c>
      <c r="AI7" s="293">
        <v>18784</v>
      </c>
      <c r="AJ7" s="293">
        <v>6009</v>
      </c>
      <c r="AK7" s="293">
        <v>61848</v>
      </c>
      <c r="AL7" s="293">
        <v>-2166</v>
      </c>
      <c r="AM7" s="293">
        <v>40804</v>
      </c>
      <c r="AN7" s="293">
        <v>375</v>
      </c>
      <c r="AO7" s="293">
        <v>9569</v>
      </c>
      <c r="AP7" s="293">
        <v>5510</v>
      </c>
      <c r="AQ7" s="293">
        <v>2304</v>
      </c>
      <c r="AR7" s="15"/>
      <c r="AS7" s="12">
        <f aca="true" t="shared" si="0" ref="AS7:AS13">SUM(C7:AQ7)</f>
        <v>42105917</v>
      </c>
      <c r="AT7" s="12"/>
      <c r="AU7" s="12"/>
      <c r="AV7" s="15"/>
    </row>
    <row r="8" spans="1:48" ht="12.75" customHeight="1">
      <c r="A8" s="6" t="s">
        <v>128</v>
      </c>
      <c r="B8" s="6"/>
      <c r="C8" s="294">
        <v>0</v>
      </c>
      <c r="D8" s="293">
        <v>0</v>
      </c>
      <c r="E8" s="294">
        <v>0</v>
      </c>
      <c r="F8" s="293">
        <v>0</v>
      </c>
      <c r="G8" s="294">
        <v>0</v>
      </c>
      <c r="H8" s="294">
        <v>0</v>
      </c>
      <c r="I8" s="294">
        <v>0</v>
      </c>
      <c r="J8" s="293">
        <v>0</v>
      </c>
      <c r="K8" s="294">
        <v>0</v>
      </c>
      <c r="L8" s="293">
        <v>5952</v>
      </c>
      <c r="M8" s="294">
        <v>0</v>
      </c>
      <c r="N8" s="294">
        <v>0</v>
      </c>
      <c r="O8" s="293">
        <v>14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3">
        <v>45063</v>
      </c>
      <c r="V8" s="294">
        <v>0</v>
      </c>
      <c r="W8" s="294">
        <v>0</v>
      </c>
      <c r="X8" s="294">
        <v>0</v>
      </c>
      <c r="Y8" s="294">
        <v>0</v>
      </c>
      <c r="Z8" s="293">
        <v>4422</v>
      </c>
      <c r="AA8" s="294">
        <v>0</v>
      </c>
      <c r="AB8" s="294">
        <v>0</v>
      </c>
      <c r="AC8" s="294">
        <v>0</v>
      </c>
      <c r="AD8" s="293">
        <v>8615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0</v>
      </c>
      <c r="AK8" s="294">
        <v>0</v>
      </c>
      <c r="AL8" s="294">
        <v>0</v>
      </c>
      <c r="AM8" s="294">
        <v>0</v>
      </c>
      <c r="AN8" s="294">
        <v>0</v>
      </c>
      <c r="AO8" s="294">
        <v>0</v>
      </c>
      <c r="AP8" s="294">
        <v>0</v>
      </c>
      <c r="AQ8" s="294">
        <v>0</v>
      </c>
      <c r="AR8" s="15"/>
      <c r="AS8" s="12">
        <f t="shared" si="0"/>
        <v>64066</v>
      </c>
      <c r="AT8" s="12"/>
      <c r="AU8" s="12"/>
      <c r="AV8" s="15"/>
    </row>
    <row r="9" spans="1:48" ht="12.75" customHeight="1">
      <c r="A9" s="6" t="s">
        <v>129</v>
      </c>
      <c r="B9" s="6"/>
      <c r="C9" s="293">
        <v>11865399</v>
      </c>
      <c r="D9" s="293">
        <v>6675792</v>
      </c>
      <c r="E9" s="293">
        <v>7829632</v>
      </c>
      <c r="F9" s="293">
        <v>4217169</v>
      </c>
      <c r="G9" s="293">
        <v>760226</v>
      </c>
      <c r="H9" s="293">
        <v>5759312</v>
      </c>
      <c r="I9" s="293">
        <v>1697600</v>
      </c>
      <c r="J9" s="293">
        <v>836558</v>
      </c>
      <c r="K9" s="293">
        <v>2144806</v>
      </c>
      <c r="L9" s="293">
        <v>2361889</v>
      </c>
      <c r="M9" s="293">
        <v>883775</v>
      </c>
      <c r="N9" s="293">
        <v>964192</v>
      </c>
      <c r="O9" s="293">
        <v>1356850</v>
      </c>
      <c r="P9" s="293">
        <v>697735</v>
      </c>
      <c r="Q9" s="293">
        <v>981077</v>
      </c>
      <c r="R9" s="293">
        <v>28192</v>
      </c>
      <c r="S9" s="293">
        <v>1194933</v>
      </c>
      <c r="T9" s="293">
        <v>548116</v>
      </c>
      <c r="U9" s="293">
        <v>509221</v>
      </c>
      <c r="V9" s="293">
        <v>403491</v>
      </c>
      <c r="W9" s="293">
        <v>252833</v>
      </c>
      <c r="X9" s="293">
        <v>741380</v>
      </c>
      <c r="Y9" s="293">
        <v>18104</v>
      </c>
      <c r="Z9" s="293">
        <v>34</v>
      </c>
      <c r="AA9" s="293">
        <v>190568</v>
      </c>
      <c r="AB9" s="293">
        <v>172451</v>
      </c>
      <c r="AC9" s="293">
        <v>19170</v>
      </c>
      <c r="AD9" s="293">
        <v>218279</v>
      </c>
      <c r="AE9" s="293">
        <v>39379</v>
      </c>
      <c r="AF9" s="293">
        <v>184013</v>
      </c>
      <c r="AG9" s="293">
        <v>19798</v>
      </c>
      <c r="AH9" s="293">
        <v>33401</v>
      </c>
      <c r="AI9" s="293">
        <v>10170</v>
      </c>
      <c r="AJ9" s="293">
        <v>17774</v>
      </c>
      <c r="AK9" s="293">
        <v>26168</v>
      </c>
      <c r="AL9" s="293">
        <v>8444</v>
      </c>
      <c r="AM9" s="293">
        <v>27925</v>
      </c>
      <c r="AN9" s="293">
        <v>24809</v>
      </c>
      <c r="AO9" s="293">
        <v>7937</v>
      </c>
      <c r="AP9" s="293">
        <v>723</v>
      </c>
      <c r="AQ9" s="293">
        <v>6783</v>
      </c>
      <c r="AR9" s="15"/>
      <c r="AS9" s="12">
        <f t="shared" si="0"/>
        <v>53736108</v>
      </c>
      <c r="AT9" s="12"/>
      <c r="AU9" s="12"/>
      <c r="AV9" s="15"/>
    </row>
    <row r="10" spans="1:48" ht="12.75" customHeight="1">
      <c r="A10" s="6" t="s">
        <v>130</v>
      </c>
      <c r="B10" s="6"/>
      <c r="C10" s="293">
        <v>27958126</v>
      </c>
      <c r="D10" s="293">
        <v>24745656</v>
      </c>
      <c r="E10" s="293">
        <v>32499226</v>
      </c>
      <c r="F10" s="293">
        <v>11466226</v>
      </c>
      <c r="G10" s="293">
        <v>16381675</v>
      </c>
      <c r="H10" s="293">
        <v>7724281</v>
      </c>
      <c r="I10" s="293">
        <v>18708738</v>
      </c>
      <c r="J10" s="293">
        <v>9886570</v>
      </c>
      <c r="K10" s="293">
        <v>1979052</v>
      </c>
      <c r="L10" s="293">
        <v>7529873</v>
      </c>
      <c r="M10" s="293">
        <v>14880485</v>
      </c>
      <c r="N10" s="293">
        <v>5362718</v>
      </c>
      <c r="O10" s="293">
        <v>14355438</v>
      </c>
      <c r="P10" s="293">
        <v>6966547</v>
      </c>
      <c r="Q10" s="293">
        <v>1283172</v>
      </c>
      <c r="R10" s="293">
        <v>19354289</v>
      </c>
      <c r="S10" s="293">
        <v>3473461</v>
      </c>
      <c r="T10" s="293">
        <v>1426762</v>
      </c>
      <c r="U10" s="293">
        <v>7646273</v>
      </c>
      <c r="V10" s="293">
        <v>8038747</v>
      </c>
      <c r="W10" s="293">
        <v>920613</v>
      </c>
      <c r="X10" s="293">
        <v>2095233</v>
      </c>
      <c r="Y10" s="293">
        <v>1010292</v>
      </c>
      <c r="Z10" s="293">
        <v>811757</v>
      </c>
      <c r="AA10" s="293">
        <v>475452</v>
      </c>
      <c r="AB10" s="293">
        <v>1927659</v>
      </c>
      <c r="AC10" s="293">
        <v>1987169</v>
      </c>
      <c r="AD10" s="293">
        <v>482030</v>
      </c>
      <c r="AE10" s="293">
        <v>73500</v>
      </c>
      <c r="AF10" s="293">
        <v>218296</v>
      </c>
      <c r="AG10" s="293">
        <v>1545781</v>
      </c>
      <c r="AH10" s="293">
        <v>4161</v>
      </c>
      <c r="AI10" s="293">
        <v>406566</v>
      </c>
      <c r="AJ10" s="293">
        <v>549416</v>
      </c>
      <c r="AK10" s="293">
        <v>627</v>
      </c>
      <c r="AL10" s="293">
        <v>666953</v>
      </c>
      <c r="AM10" s="294">
        <v>0</v>
      </c>
      <c r="AN10" s="293">
        <v>138200</v>
      </c>
      <c r="AO10" s="293">
        <v>19051</v>
      </c>
      <c r="AP10" s="294">
        <v>0</v>
      </c>
      <c r="AQ10" s="294">
        <v>0</v>
      </c>
      <c r="AR10" s="15"/>
      <c r="AS10" s="12">
        <f t="shared" si="0"/>
        <v>255000071</v>
      </c>
      <c r="AT10" s="12"/>
      <c r="AU10" s="12"/>
      <c r="AV10" s="15"/>
    </row>
    <row r="11" spans="1:48" ht="12.75" customHeight="1">
      <c r="A11" s="6" t="s">
        <v>131</v>
      </c>
      <c r="B11" s="6"/>
      <c r="C11" s="293">
        <v>14924309</v>
      </c>
      <c r="D11" s="293">
        <v>7956530</v>
      </c>
      <c r="E11" s="293">
        <v>819130</v>
      </c>
      <c r="F11" s="293">
        <v>8674006</v>
      </c>
      <c r="G11" s="293">
        <v>510457</v>
      </c>
      <c r="H11" s="294">
        <v>0</v>
      </c>
      <c r="I11" s="293">
        <v>9914755</v>
      </c>
      <c r="J11" s="293">
        <v>13130002</v>
      </c>
      <c r="K11" s="293">
        <v>56494</v>
      </c>
      <c r="L11" s="293">
        <v>1368073</v>
      </c>
      <c r="M11" s="293">
        <v>791741</v>
      </c>
      <c r="N11" s="293">
        <v>1083409</v>
      </c>
      <c r="O11" s="293">
        <v>5564218</v>
      </c>
      <c r="P11" s="293">
        <v>945356</v>
      </c>
      <c r="Q11" s="293">
        <v>635075</v>
      </c>
      <c r="R11" s="293">
        <v>352355</v>
      </c>
      <c r="S11" s="293">
        <v>601146</v>
      </c>
      <c r="T11" s="293">
        <v>31937</v>
      </c>
      <c r="U11" s="293">
        <v>338835</v>
      </c>
      <c r="V11" s="293">
        <v>811300</v>
      </c>
      <c r="W11" s="293">
        <v>515137</v>
      </c>
      <c r="X11" s="293">
        <v>707227</v>
      </c>
      <c r="Y11" s="293">
        <v>33562</v>
      </c>
      <c r="Z11" s="293">
        <v>71779</v>
      </c>
      <c r="AA11" s="293">
        <v>2212527</v>
      </c>
      <c r="AB11" s="293">
        <v>195934</v>
      </c>
      <c r="AC11" s="293">
        <v>155431</v>
      </c>
      <c r="AD11" s="293">
        <v>874015</v>
      </c>
      <c r="AE11" s="294">
        <v>0</v>
      </c>
      <c r="AF11" s="294">
        <v>0</v>
      </c>
      <c r="AG11" s="293">
        <v>17723</v>
      </c>
      <c r="AH11" s="293">
        <v>648755</v>
      </c>
      <c r="AI11" s="293">
        <v>22260</v>
      </c>
      <c r="AJ11" s="293">
        <v>3825</v>
      </c>
      <c r="AK11" s="293">
        <v>56697</v>
      </c>
      <c r="AL11" s="294">
        <v>0</v>
      </c>
      <c r="AM11" s="294">
        <v>0</v>
      </c>
      <c r="AN11" s="293">
        <v>18992</v>
      </c>
      <c r="AO11" s="293">
        <v>284</v>
      </c>
      <c r="AP11" s="294">
        <v>0</v>
      </c>
      <c r="AQ11" s="294">
        <v>0</v>
      </c>
      <c r="AR11" s="15"/>
      <c r="AS11" s="12">
        <f t="shared" si="0"/>
        <v>74043276</v>
      </c>
      <c r="AT11" s="12"/>
      <c r="AU11" s="12"/>
      <c r="AV11" s="15"/>
    </row>
    <row r="12" spans="1:48" ht="12.75" customHeight="1">
      <c r="A12" s="6" t="s">
        <v>132</v>
      </c>
      <c r="B12" s="6"/>
      <c r="C12" s="294">
        <v>0</v>
      </c>
      <c r="D12" s="293">
        <v>0</v>
      </c>
      <c r="E12" s="294">
        <v>0</v>
      </c>
      <c r="F12" s="293">
        <v>0</v>
      </c>
      <c r="G12" s="293">
        <v>1554554</v>
      </c>
      <c r="H12" s="293">
        <v>10000</v>
      </c>
      <c r="I12" s="294">
        <v>0</v>
      </c>
      <c r="J12" s="293">
        <v>27424</v>
      </c>
      <c r="K12" s="294">
        <v>0</v>
      </c>
      <c r="L12" s="293">
        <v>23716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3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4">
        <v>0</v>
      </c>
      <c r="AJ12" s="294">
        <v>0</v>
      </c>
      <c r="AK12" s="294">
        <v>0</v>
      </c>
      <c r="AL12" s="294">
        <v>0</v>
      </c>
      <c r="AM12" s="294">
        <v>0</v>
      </c>
      <c r="AN12" s="293">
        <v>792</v>
      </c>
      <c r="AO12" s="294">
        <v>0</v>
      </c>
      <c r="AP12" s="294">
        <v>0</v>
      </c>
      <c r="AQ12" s="294">
        <v>0</v>
      </c>
      <c r="AR12" s="15"/>
      <c r="AS12" s="12">
        <f t="shared" si="0"/>
        <v>1616486</v>
      </c>
      <c r="AT12" s="12"/>
      <c r="AU12" s="12"/>
      <c r="AV12" s="15"/>
    </row>
    <row r="13" spans="1:48" ht="12.75" customHeight="1">
      <c r="A13" s="6" t="s">
        <v>133</v>
      </c>
      <c r="B13" s="6"/>
      <c r="C13" s="294">
        <v>0</v>
      </c>
      <c r="D13" s="293">
        <v>0</v>
      </c>
      <c r="E13" s="294">
        <v>0</v>
      </c>
      <c r="F13" s="294">
        <v>0</v>
      </c>
      <c r="G13" s="294">
        <v>0</v>
      </c>
      <c r="H13" s="293">
        <v>160550</v>
      </c>
      <c r="I13" s="294">
        <v>0</v>
      </c>
      <c r="J13" s="294">
        <v>0</v>
      </c>
      <c r="K13" s="294">
        <v>0</v>
      </c>
      <c r="L13" s="293">
        <v>0</v>
      </c>
      <c r="M13" s="294">
        <v>0</v>
      </c>
      <c r="N13" s="294">
        <v>0</v>
      </c>
      <c r="O13" s="294">
        <v>0</v>
      </c>
      <c r="P13" s="294">
        <v>0</v>
      </c>
      <c r="Q13" s="294">
        <v>0</v>
      </c>
      <c r="R13" s="294">
        <v>0</v>
      </c>
      <c r="S13" s="294">
        <v>0</v>
      </c>
      <c r="T13" s="294">
        <v>0</v>
      </c>
      <c r="U13" s="293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294">
        <v>0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4">
        <v>0</v>
      </c>
      <c r="AJ13" s="294">
        <v>0</v>
      </c>
      <c r="AK13" s="293">
        <v>731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15"/>
      <c r="AS13" s="12">
        <f t="shared" si="0"/>
        <v>161281</v>
      </c>
      <c r="AT13" s="12"/>
      <c r="AU13" s="12"/>
      <c r="AV13" s="15"/>
    </row>
    <row r="14" spans="1:48" ht="12.75" customHeight="1">
      <c r="A14" s="6" t="s">
        <v>134</v>
      </c>
      <c r="B14" s="6"/>
      <c r="C14" s="293">
        <v>25294</v>
      </c>
      <c r="D14" s="293">
        <v>175322</v>
      </c>
      <c r="E14" s="293">
        <v>2601212</v>
      </c>
      <c r="F14" s="293">
        <v>3036828</v>
      </c>
      <c r="G14" s="293">
        <v>23686</v>
      </c>
      <c r="H14" s="293">
        <v>11850</v>
      </c>
      <c r="I14" s="293">
        <v>0</v>
      </c>
      <c r="J14" s="293">
        <v>349677</v>
      </c>
      <c r="K14" s="294">
        <v>0</v>
      </c>
      <c r="L14" s="293">
        <v>0</v>
      </c>
      <c r="M14" s="293">
        <v>80985</v>
      </c>
      <c r="N14" s="293">
        <v>25691</v>
      </c>
      <c r="O14" s="293">
        <v>1623</v>
      </c>
      <c r="P14" s="294">
        <v>0</v>
      </c>
      <c r="Q14" s="293">
        <v>-5271</v>
      </c>
      <c r="R14" s="294">
        <v>0</v>
      </c>
      <c r="S14" s="293">
        <v>42469</v>
      </c>
      <c r="T14" s="294">
        <v>0</v>
      </c>
      <c r="U14" s="293">
        <v>0</v>
      </c>
      <c r="V14" s="293">
        <v>-262</v>
      </c>
      <c r="W14" s="294">
        <v>0</v>
      </c>
      <c r="X14" s="293">
        <v>73867</v>
      </c>
      <c r="Y14" s="294">
        <v>0</v>
      </c>
      <c r="Z14" s="294">
        <v>0</v>
      </c>
      <c r="AA14" s="293">
        <v>13813</v>
      </c>
      <c r="AB14" s="294">
        <v>0</v>
      </c>
      <c r="AC14" s="293">
        <v>130061</v>
      </c>
      <c r="AD14" s="293">
        <v>679</v>
      </c>
      <c r="AE14" s="294">
        <v>0</v>
      </c>
      <c r="AF14" s="293">
        <v>-2264</v>
      </c>
      <c r="AG14" s="294">
        <v>0</v>
      </c>
      <c r="AH14" s="294">
        <v>0</v>
      </c>
      <c r="AI14" s="294">
        <v>0</v>
      </c>
      <c r="AJ14" s="294">
        <v>0</v>
      </c>
      <c r="AK14" s="293">
        <v>30397</v>
      </c>
      <c r="AL14" s="293">
        <v>3545</v>
      </c>
      <c r="AM14" s="294">
        <v>0</v>
      </c>
      <c r="AN14" s="294">
        <v>0</v>
      </c>
      <c r="AO14" s="293">
        <v>2938</v>
      </c>
      <c r="AP14" s="293">
        <v>28961</v>
      </c>
      <c r="AQ14" s="293">
        <v>15272</v>
      </c>
      <c r="AR14" s="15"/>
      <c r="AS14" s="12">
        <f>SUM(C14:AQ14)</f>
        <v>6666373</v>
      </c>
      <c r="AT14" s="12"/>
      <c r="AU14" s="12"/>
      <c r="AV14" s="15"/>
    </row>
    <row r="15" spans="1:48" ht="12.75" customHeight="1">
      <c r="A15" s="19" t="s">
        <v>135</v>
      </c>
      <c r="B15" s="19"/>
      <c r="C15" s="293">
        <f aca="true" t="shared" si="1" ref="C15:AQ15">SUM(C6:C14)</f>
        <v>83573552</v>
      </c>
      <c r="D15" s="293">
        <f t="shared" si="1"/>
        <v>62181917</v>
      </c>
      <c r="E15" s="293">
        <f t="shared" si="1"/>
        <v>56712956</v>
      </c>
      <c r="F15" s="293">
        <f t="shared" si="1"/>
        <v>34086480</v>
      </c>
      <c r="G15" s="293">
        <f t="shared" si="1"/>
        <v>27565319</v>
      </c>
      <c r="H15" s="293">
        <f t="shared" si="1"/>
        <v>19679903</v>
      </c>
      <c r="I15" s="293">
        <f t="shared" si="1"/>
        <v>43233555</v>
      </c>
      <c r="J15" s="293">
        <f t="shared" si="1"/>
        <v>27897562</v>
      </c>
      <c r="K15" s="293">
        <f t="shared" si="1"/>
        <v>7073195</v>
      </c>
      <c r="L15" s="293">
        <f t="shared" si="1"/>
        <v>15296858</v>
      </c>
      <c r="M15" s="293">
        <f t="shared" si="1"/>
        <v>20015044</v>
      </c>
      <c r="N15" s="293">
        <f t="shared" si="1"/>
        <v>9853415</v>
      </c>
      <c r="O15" s="293">
        <f t="shared" si="1"/>
        <v>23912673</v>
      </c>
      <c r="P15" s="293">
        <f t="shared" si="1"/>
        <v>10210112</v>
      </c>
      <c r="Q15" s="293">
        <f t="shared" si="1"/>
        <v>7110325</v>
      </c>
      <c r="R15" s="293">
        <f t="shared" si="1"/>
        <v>24845913</v>
      </c>
      <c r="S15" s="293">
        <f t="shared" si="1"/>
        <v>6540488</v>
      </c>
      <c r="T15" s="293">
        <f t="shared" si="1"/>
        <v>3102251</v>
      </c>
      <c r="U15" s="293">
        <f t="shared" si="1"/>
        <v>9210242</v>
      </c>
      <c r="V15" s="293">
        <f t="shared" si="1"/>
        <v>10067596</v>
      </c>
      <c r="W15" s="293">
        <f t="shared" si="1"/>
        <v>4458576</v>
      </c>
      <c r="X15" s="293">
        <f t="shared" si="1"/>
        <v>3774981</v>
      </c>
      <c r="Y15" s="293">
        <f t="shared" si="1"/>
        <v>1302842</v>
      </c>
      <c r="Z15" s="293">
        <f t="shared" si="1"/>
        <v>1207236</v>
      </c>
      <c r="AA15" s="293">
        <f t="shared" si="1"/>
        <v>2955432</v>
      </c>
      <c r="AB15" s="293">
        <f t="shared" si="1"/>
        <v>2311206</v>
      </c>
      <c r="AC15" s="293">
        <f t="shared" si="1"/>
        <v>2402842</v>
      </c>
      <c r="AD15" s="293">
        <f t="shared" si="1"/>
        <v>1786041</v>
      </c>
      <c r="AE15" s="293">
        <f t="shared" si="1"/>
        <v>389688</v>
      </c>
      <c r="AF15" s="293">
        <f t="shared" si="1"/>
        <v>690815</v>
      </c>
      <c r="AG15" s="293">
        <f t="shared" si="1"/>
        <v>1599497</v>
      </c>
      <c r="AH15" s="293">
        <f t="shared" si="1"/>
        <v>704226</v>
      </c>
      <c r="AI15" s="293">
        <f t="shared" si="1"/>
        <v>497664</v>
      </c>
      <c r="AJ15" s="293">
        <f>SUM(AJ6:AJ14)</f>
        <v>577024</v>
      </c>
      <c r="AK15" s="293">
        <f t="shared" si="1"/>
        <v>176468</v>
      </c>
      <c r="AL15" s="293">
        <f t="shared" si="1"/>
        <v>676590</v>
      </c>
      <c r="AM15" s="293">
        <f t="shared" si="1"/>
        <v>68729</v>
      </c>
      <c r="AN15" s="293">
        <f t="shared" si="1"/>
        <v>223978</v>
      </c>
      <c r="AO15" s="293">
        <f t="shared" si="1"/>
        <v>304139</v>
      </c>
      <c r="AP15" s="293">
        <f t="shared" si="1"/>
        <v>84113</v>
      </c>
      <c r="AQ15" s="293">
        <f t="shared" si="1"/>
        <v>152859</v>
      </c>
      <c r="AR15" s="293"/>
      <c r="AS15" s="293">
        <f>SUM(AS6:AS14)</f>
        <v>528514302</v>
      </c>
      <c r="AT15" s="12"/>
      <c r="AU15" s="12"/>
      <c r="AV15" s="15"/>
    </row>
    <row r="16" spans="1:48" ht="12.75" customHeight="1">
      <c r="A16" s="12"/>
      <c r="B16" s="12"/>
      <c r="C16" s="293"/>
      <c r="D16" s="293"/>
      <c r="E16" s="293"/>
      <c r="F16" s="293"/>
      <c r="G16" s="293"/>
      <c r="H16" s="293"/>
      <c r="I16" s="293"/>
      <c r="J16" s="293"/>
      <c r="K16" s="294"/>
      <c r="L16" s="293"/>
      <c r="M16" s="293"/>
      <c r="N16" s="293"/>
      <c r="O16" s="293"/>
      <c r="P16" s="294"/>
      <c r="Q16" s="293"/>
      <c r="R16" s="294"/>
      <c r="S16" s="293"/>
      <c r="T16" s="294"/>
      <c r="U16" s="293"/>
      <c r="V16" s="293"/>
      <c r="W16" s="294"/>
      <c r="X16" s="293"/>
      <c r="Y16" s="294"/>
      <c r="Z16" s="294"/>
      <c r="AA16" s="293"/>
      <c r="AB16" s="294"/>
      <c r="AC16" s="293"/>
      <c r="AD16" s="293"/>
      <c r="AE16" s="294"/>
      <c r="AF16" s="293"/>
      <c r="AG16" s="294"/>
      <c r="AH16" s="294"/>
      <c r="AI16" s="294"/>
      <c r="AJ16" s="294"/>
      <c r="AK16" s="293"/>
      <c r="AL16" s="293"/>
      <c r="AM16" s="294"/>
      <c r="AN16" s="294"/>
      <c r="AO16" s="293"/>
      <c r="AP16" s="293"/>
      <c r="AQ16" s="293"/>
      <c r="AS16" s="12"/>
      <c r="AT16" s="12"/>
      <c r="AU16" s="12"/>
      <c r="AV16" s="15"/>
    </row>
    <row r="17" spans="1:48" ht="12.75" customHeight="1">
      <c r="A17" s="4" t="s">
        <v>136</v>
      </c>
      <c r="B17" s="4"/>
      <c r="C17" s="293"/>
      <c r="D17" s="293"/>
      <c r="E17" s="293"/>
      <c r="F17" s="293"/>
      <c r="G17" s="293"/>
      <c r="H17" s="293"/>
      <c r="I17" s="293"/>
      <c r="J17" s="293"/>
      <c r="K17" s="294"/>
      <c r="L17" s="293"/>
      <c r="M17" s="293"/>
      <c r="N17" s="293"/>
      <c r="O17" s="293"/>
      <c r="P17" s="294"/>
      <c r="Q17" s="293"/>
      <c r="R17" s="294"/>
      <c r="S17" s="293"/>
      <c r="T17" s="294"/>
      <c r="U17" s="293"/>
      <c r="V17" s="293"/>
      <c r="W17" s="294"/>
      <c r="X17" s="293"/>
      <c r="Y17" s="294"/>
      <c r="Z17" s="294"/>
      <c r="AA17" s="293"/>
      <c r="AB17" s="294"/>
      <c r="AC17" s="293"/>
      <c r="AD17" s="293"/>
      <c r="AE17" s="294"/>
      <c r="AF17" s="293"/>
      <c r="AG17" s="294"/>
      <c r="AH17" s="294"/>
      <c r="AI17" s="294"/>
      <c r="AJ17" s="294"/>
      <c r="AK17" s="293"/>
      <c r="AL17" s="293"/>
      <c r="AM17" s="294"/>
      <c r="AN17" s="294"/>
      <c r="AO17" s="293"/>
      <c r="AP17" s="293"/>
      <c r="AQ17" s="293"/>
      <c r="AR17" s="15"/>
      <c r="AS17" s="12"/>
      <c r="AT17" s="12"/>
      <c r="AU17" s="12"/>
      <c r="AV17" s="15"/>
    </row>
    <row r="18" spans="1:48" ht="12.75" customHeight="1">
      <c r="A18" s="6" t="s">
        <v>49</v>
      </c>
      <c r="B18" s="6"/>
      <c r="C18" s="293">
        <v>14004371</v>
      </c>
      <c r="D18" s="293">
        <v>3496590</v>
      </c>
      <c r="E18" s="293">
        <v>4872574</v>
      </c>
      <c r="F18" s="293">
        <v>2099519</v>
      </c>
      <c r="G18" s="293">
        <v>1136688</v>
      </c>
      <c r="H18" s="293">
        <v>1455584</v>
      </c>
      <c r="I18" s="293">
        <v>798305</v>
      </c>
      <c r="J18" s="293">
        <v>1378575</v>
      </c>
      <c r="K18" s="293">
        <v>513602</v>
      </c>
      <c r="L18" s="293">
        <v>1173328</v>
      </c>
      <c r="M18" s="293">
        <v>906405</v>
      </c>
      <c r="N18" s="293">
        <v>540057</v>
      </c>
      <c r="O18" s="293">
        <v>225620</v>
      </c>
      <c r="P18" s="293">
        <v>519485</v>
      </c>
      <c r="Q18" s="293">
        <v>237259</v>
      </c>
      <c r="R18" s="293">
        <v>253594</v>
      </c>
      <c r="S18" s="293">
        <v>966037</v>
      </c>
      <c r="T18" s="293">
        <v>438408</v>
      </c>
      <c r="U18" s="293">
        <v>742518</v>
      </c>
      <c r="V18" s="293">
        <v>405882</v>
      </c>
      <c r="W18" s="293">
        <v>1736091</v>
      </c>
      <c r="X18" s="293">
        <v>368464</v>
      </c>
      <c r="Y18" s="293">
        <v>166680</v>
      </c>
      <c r="Z18" s="293">
        <v>88736</v>
      </c>
      <c r="AA18" s="293">
        <v>179069</v>
      </c>
      <c r="AB18" s="293">
        <v>117407</v>
      </c>
      <c r="AC18" s="293">
        <v>38299</v>
      </c>
      <c r="AD18" s="293">
        <v>154902</v>
      </c>
      <c r="AE18" s="293">
        <v>229833</v>
      </c>
      <c r="AF18" s="293">
        <v>90284</v>
      </c>
      <c r="AG18" s="293">
        <v>84507</v>
      </c>
      <c r="AH18" s="293">
        <v>73367</v>
      </c>
      <c r="AI18" s="293">
        <v>39633</v>
      </c>
      <c r="AJ18" s="293">
        <v>44079</v>
      </c>
      <c r="AK18" s="293">
        <v>39118</v>
      </c>
      <c r="AL18" s="293">
        <v>38105</v>
      </c>
      <c r="AM18" s="293">
        <v>41905</v>
      </c>
      <c r="AN18" s="293">
        <v>50897</v>
      </c>
      <c r="AO18" s="293">
        <v>50863</v>
      </c>
      <c r="AP18" s="293">
        <v>72411</v>
      </c>
      <c r="AQ18" s="293">
        <v>173722</v>
      </c>
      <c r="AR18" s="15"/>
      <c r="AS18" s="12">
        <f>SUM(C18:AQ18)</f>
        <v>40042773</v>
      </c>
      <c r="AT18" s="12"/>
      <c r="AU18" s="12"/>
      <c r="AV18" s="15"/>
    </row>
    <row r="19" spans="1:48" ht="12.75" customHeight="1">
      <c r="A19" s="6" t="s">
        <v>137</v>
      </c>
      <c r="B19" s="6"/>
      <c r="C19" s="293">
        <v>479128</v>
      </c>
      <c r="D19" s="293">
        <v>187793</v>
      </c>
      <c r="E19" s="293">
        <v>122852</v>
      </c>
      <c r="F19" s="293">
        <v>98590</v>
      </c>
      <c r="G19" s="293">
        <v>68068</v>
      </c>
      <c r="H19" s="293">
        <v>86314</v>
      </c>
      <c r="I19" s="293">
        <v>167444</v>
      </c>
      <c r="J19" s="293">
        <v>31140</v>
      </c>
      <c r="K19" s="293">
        <v>44423</v>
      </c>
      <c r="L19" s="293">
        <v>61094</v>
      </c>
      <c r="M19" s="293">
        <v>38385</v>
      </c>
      <c r="N19" s="293">
        <v>14435</v>
      </c>
      <c r="O19" s="293">
        <v>86208</v>
      </c>
      <c r="P19" s="293">
        <v>1373</v>
      </c>
      <c r="Q19" s="293">
        <v>30508</v>
      </c>
      <c r="R19" s="293">
        <v>7623</v>
      </c>
      <c r="S19" s="293">
        <v>39173</v>
      </c>
      <c r="T19" s="293">
        <v>23251</v>
      </c>
      <c r="U19" s="293">
        <v>53120</v>
      </c>
      <c r="V19" s="293">
        <v>10577</v>
      </c>
      <c r="W19" s="293">
        <v>10492</v>
      </c>
      <c r="X19" s="294">
        <v>0</v>
      </c>
      <c r="Y19" s="293">
        <v>6161</v>
      </c>
      <c r="Z19" s="293">
        <v>9849</v>
      </c>
      <c r="AA19" s="293">
        <v>1064</v>
      </c>
      <c r="AB19" s="293">
        <v>50</v>
      </c>
      <c r="AC19" s="293">
        <v>20290</v>
      </c>
      <c r="AD19" s="293">
        <v>3049</v>
      </c>
      <c r="AE19" s="293">
        <v>2320</v>
      </c>
      <c r="AF19" s="293">
        <v>2988</v>
      </c>
      <c r="AG19" s="293">
        <v>108</v>
      </c>
      <c r="AH19" s="293">
        <v>3677</v>
      </c>
      <c r="AI19" s="293">
        <v>357</v>
      </c>
      <c r="AJ19" s="293">
        <v>115</v>
      </c>
      <c r="AK19" s="293">
        <v>101</v>
      </c>
      <c r="AL19" s="294">
        <v>0</v>
      </c>
      <c r="AM19" s="294">
        <v>0</v>
      </c>
      <c r="AN19" s="293">
        <v>75</v>
      </c>
      <c r="AO19" s="293">
        <v>1641</v>
      </c>
      <c r="AP19" s="294">
        <v>0</v>
      </c>
      <c r="AQ19" s="294">
        <v>0</v>
      </c>
      <c r="AR19" s="15"/>
      <c r="AS19" s="12">
        <f>SUM(C19:AQ19)</f>
        <v>1713836</v>
      </c>
      <c r="AT19" s="12"/>
      <c r="AU19" s="12"/>
      <c r="AV19" s="15"/>
    </row>
    <row r="20" spans="1:48" ht="12.75" customHeight="1">
      <c r="A20" s="6" t="s">
        <v>138</v>
      </c>
      <c r="B20" s="6"/>
      <c r="C20" s="293">
        <v>208247</v>
      </c>
      <c r="D20" s="293">
        <v>178704</v>
      </c>
      <c r="E20" s="293">
        <v>212315</v>
      </c>
      <c r="F20" s="293">
        <v>97163</v>
      </c>
      <c r="G20" s="293">
        <v>86690</v>
      </c>
      <c r="H20" s="293">
        <v>103703</v>
      </c>
      <c r="I20" s="293">
        <v>79821</v>
      </c>
      <c r="J20" s="293">
        <v>65529</v>
      </c>
      <c r="K20" s="293">
        <v>60006</v>
      </c>
      <c r="L20" s="293">
        <v>81238</v>
      </c>
      <c r="M20" s="293">
        <v>47251</v>
      </c>
      <c r="N20" s="293">
        <v>61511</v>
      </c>
      <c r="O20" s="293">
        <v>42955</v>
      </c>
      <c r="P20" s="293">
        <v>48690</v>
      </c>
      <c r="Q20" s="293">
        <v>46070</v>
      </c>
      <c r="R20" s="293">
        <v>26878</v>
      </c>
      <c r="S20" s="293">
        <v>19314</v>
      </c>
      <c r="T20" s="293">
        <v>25450</v>
      </c>
      <c r="U20" s="293">
        <v>33517</v>
      </c>
      <c r="V20" s="293">
        <v>17061</v>
      </c>
      <c r="W20" s="293">
        <v>79182</v>
      </c>
      <c r="X20" s="293">
        <v>3716</v>
      </c>
      <c r="Y20" s="293">
        <v>5786</v>
      </c>
      <c r="Z20" s="293">
        <v>6457</v>
      </c>
      <c r="AA20" s="293">
        <v>10907</v>
      </c>
      <c r="AB20" s="293">
        <v>2812</v>
      </c>
      <c r="AC20" s="293">
        <v>5635</v>
      </c>
      <c r="AD20" s="293">
        <v>5567</v>
      </c>
      <c r="AE20" s="293">
        <v>6882</v>
      </c>
      <c r="AF20" s="293">
        <v>8003</v>
      </c>
      <c r="AG20" s="293">
        <v>3135</v>
      </c>
      <c r="AH20" s="293">
        <v>2533</v>
      </c>
      <c r="AI20" s="293">
        <v>3670</v>
      </c>
      <c r="AJ20" s="293">
        <v>1388</v>
      </c>
      <c r="AK20" s="293">
        <v>1643</v>
      </c>
      <c r="AL20" s="293">
        <v>2835</v>
      </c>
      <c r="AM20" s="293">
        <v>1297</v>
      </c>
      <c r="AN20" s="293">
        <v>2380</v>
      </c>
      <c r="AO20" s="293">
        <v>1641</v>
      </c>
      <c r="AP20" s="293">
        <v>2177</v>
      </c>
      <c r="AQ20" s="293">
        <v>3496</v>
      </c>
      <c r="AR20" s="15"/>
      <c r="AS20" s="12">
        <f>SUM(C20:AQ20)</f>
        <v>1703255</v>
      </c>
      <c r="AT20" s="12"/>
      <c r="AU20" s="12"/>
      <c r="AV20" s="15"/>
    </row>
    <row r="21" spans="1:48" ht="12.75" customHeight="1">
      <c r="A21" s="6" t="s">
        <v>139</v>
      </c>
      <c r="B21" s="6"/>
      <c r="C21" s="294">
        <v>0</v>
      </c>
      <c r="D21" s="293">
        <v>0</v>
      </c>
      <c r="E21" s="294">
        <v>0</v>
      </c>
      <c r="F21" s="294">
        <v>0</v>
      </c>
      <c r="G21" s="293">
        <v>4380</v>
      </c>
      <c r="H21" s="294">
        <v>0</v>
      </c>
      <c r="I21" s="293">
        <v>222992</v>
      </c>
      <c r="J21" s="294">
        <v>0</v>
      </c>
      <c r="K21" s="294">
        <v>0</v>
      </c>
      <c r="L21" s="293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94">
        <v>0</v>
      </c>
      <c r="U21" s="293">
        <v>0</v>
      </c>
      <c r="V21" s="294">
        <v>0</v>
      </c>
      <c r="W21" s="294">
        <v>0</v>
      </c>
      <c r="X21" s="294">
        <v>0</v>
      </c>
      <c r="Y21" s="294">
        <v>0</v>
      </c>
      <c r="Z21" s="294">
        <v>0</v>
      </c>
      <c r="AA21" s="294">
        <v>0</v>
      </c>
      <c r="AB21" s="294">
        <v>0</v>
      </c>
      <c r="AC21" s="293">
        <v>1442</v>
      </c>
      <c r="AD21" s="294">
        <v>0</v>
      </c>
      <c r="AE21" s="294">
        <v>0</v>
      </c>
      <c r="AF21" s="294">
        <v>0</v>
      </c>
      <c r="AG21" s="294">
        <v>0</v>
      </c>
      <c r="AH21" s="293">
        <v>0</v>
      </c>
      <c r="AI21" s="294">
        <v>0</v>
      </c>
      <c r="AJ21" s="294">
        <v>0</v>
      </c>
      <c r="AK21" s="293">
        <v>673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15"/>
      <c r="AS21" s="12">
        <f>SUM(C21:AQ21)</f>
        <v>229487</v>
      </c>
      <c r="AT21" s="12"/>
      <c r="AU21" s="12"/>
      <c r="AV21" s="15"/>
    </row>
    <row r="22" spans="1:48" ht="12.75" customHeight="1">
      <c r="A22" s="6" t="s">
        <v>140</v>
      </c>
      <c r="B22" s="6"/>
      <c r="C22" s="294">
        <v>0</v>
      </c>
      <c r="D22" s="293">
        <v>855880</v>
      </c>
      <c r="E22" s="294">
        <v>0</v>
      </c>
      <c r="F22" s="293">
        <v>3032659</v>
      </c>
      <c r="G22" s="294">
        <v>0</v>
      </c>
      <c r="H22" s="293">
        <v>0</v>
      </c>
      <c r="I22" s="294">
        <v>0</v>
      </c>
      <c r="J22" s="293">
        <v>239800</v>
      </c>
      <c r="K22" s="293">
        <v>1557</v>
      </c>
      <c r="L22" s="293">
        <v>0</v>
      </c>
      <c r="M22" s="293">
        <v>1077</v>
      </c>
      <c r="N22" s="294">
        <v>0</v>
      </c>
      <c r="O22" s="293">
        <v>2442</v>
      </c>
      <c r="P22" s="293">
        <v>56345</v>
      </c>
      <c r="Q22" s="294">
        <v>0</v>
      </c>
      <c r="R22" s="293">
        <v>0</v>
      </c>
      <c r="S22" s="294">
        <v>0</v>
      </c>
      <c r="T22" s="293">
        <v>4133</v>
      </c>
      <c r="U22" s="293">
        <v>0</v>
      </c>
      <c r="V22" s="294">
        <v>0</v>
      </c>
      <c r="W22" s="294">
        <v>0</v>
      </c>
      <c r="X22" s="293">
        <v>14369</v>
      </c>
      <c r="Y22" s="294">
        <v>0</v>
      </c>
      <c r="Z22" s="294">
        <v>0</v>
      </c>
      <c r="AA22" s="293">
        <v>360</v>
      </c>
      <c r="AB22" s="294">
        <v>0</v>
      </c>
      <c r="AC22" s="293">
        <v>447</v>
      </c>
      <c r="AD22" s="294">
        <v>0</v>
      </c>
      <c r="AE22" s="294">
        <v>0</v>
      </c>
      <c r="AF22" s="294">
        <v>0</v>
      </c>
      <c r="AG22" s="293">
        <v>321</v>
      </c>
      <c r="AH22" s="294">
        <v>0</v>
      </c>
      <c r="AI22" s="294">
        <v>0</v>
      </c>
      <c r="AJ22" s="293">
        <v>420</v>
      </c>
      <c r="AK22" s="294">
        <v>0</v>
      </c>
      <c r="AL22" s="294">
        <v>0</v>
      </c>
      <c r="AM22" s="293">
        <v>1</v>
      </c>
      <c r="AN22" s="294">
        <v>0</v>
      </c>
      <c r="AO22" s="294">
        <v>0</v>
      </c>
      <c r="AP22" s="294">
        <v>0</v>
      </c>
      <c r="AQ22" s="294">
        <v>0</v>
      </c>
      <c r="AR22" s="15"/>
      <c r="AS22" s="12">
        <f>SUM(C22:AQ22)</f>
        <v>4209811</v>
      </c>
      <c r="AT22" s="12"/>
      <c r="AU22" s="12"/>
      <c r="AV22" s="15"/>
    </row>
    <row r="23" spans="1:48" ht="12.75" customHeight="1">
      <c r="A23" s="19" t="s">
        <v>141</v>
      </c>
      <c r="B23" s="19"/>
      <c r="C23" s="294">
        <f aca="true" t="shared" si="2" ref="C23:AQ23">SUM(C18:C22)</f>
        <v>14691746</v>
      </c>
      <c r="D23" s="294">
        <f t="shared" si="2"/>
        <v>4718967</v>
      </c>
      <c r="E23" s="294">
        <f t="shared" si="2"/>
        <v>5207741</v>
      </c>
      <c r="F23" s="294">
        <f t="shared" si="2"/>
        <v>5327931</v>
      </c>
      <c r="G23" s="294">
        <f t="shared" si="2"/>
        <v>1295826</v>
      </c>
      <c r="H23" s="294">
        <f t="shared" si="2"/>
        <v>1645601</v>
      </c>
      <c r="I23" s="294">
        <f t="shared" si="2"/>
        <v>1268562</v>
      </c>
      <c r="J23" s="294">
        <f t="shared" si="2"/>
        <v>1715044</v>
      </c>
      <c r="K23" s="294">
        <f t="shared" si="2"/>
        <v>619588</v>
      </c>
      <c r="L23" s="294">
        <f t="shared" si="2"/>
        <v>1315660</v>
      </c>
      <c r="M23" s="294">
        <f t="shared" si="2"/>
        <v>993118</v>
      </c>
      <c r="N23" s="294">
        <f t="shared" si="2"/>
        <v>616003</v>
      </c>
      <c r="O23" s="294">
        <f t="shared" si="2"/>
        <v>357225</v>
      </c>
      <c r="P23" s="294">
        <f t="shared" si="2"/>
        <v>625893</v>
      </c>
      <c r="Q23" s="294">
        <f t="shared" si="2"/>
        <v>313837</v>
      </c>
      <c r="R23" s="294">
        <f t="shared" si="2"/>
        <v>288095</v>
      </c>
      <c r="S23" s="294">
        <f t="shared" si="2"/>
        <v>1024524</v>
      </c>
      <c r="T23" s="294">
        <f t="shared" si="2"/>
        <v>491242</v>
      </c>
      <c r="U23" s="294">
        <f t="shared" si="2"/>
        <v>829155</v>
      </c>
      <c r="V23" s="294">
        <f t="shared" si="2"/>
        <v>433520</v>
      </c>
      <c r="W23" s="294">
        <f t="shared" si="2"/>
        <v>1825765</v>
      </c>
      <c r="X23" s="294">
        <f t="shared" si="2"/>
        <v>386549</v>
      </c>
      <c r="Y23" s="294">
        <f t="shared" si="2"/>
        <v>178627</v>
      </c>
      <c r="Z23" s="294">
        <f t="shared" si="2"/>
        <v>105042</v>
      </c>
      <c r="AA23" s="294">
        <f t="shared" si="2"/>
        <v>191400</v>
      </c>
      <c r="AB23" s="294">
        <f t="shared" si="2"/>
        <v>120269</v>
      </c>
      <c r="AC23" s="294">
        <f t="shared" si="2"/>
        <v>66113</v>
      </c>
      <c r="AD23" s="294">
        <f t="shared" si="2"/>
        <v>163518</v>
      </c>
      <c r="AE23" s="294">
        <f t="shared" si="2"/>
        <v>239035</v>
      </c>
      <c r="AF23" s="294">
        <f t="shared" si="2"/>
        <v>101275</v>
      </c>
      <c r="AG23" s="294">
        <f t="shared" si="2"/>
        <v>88071</v>
      </c>
      <c r="AH23" s="294">
        <f t="shared" si="2"/>
        <v>79577</v>
      </c>
      <c r="AI23" s="294">
        <f t="shared" si="2"/>
        <v>43660</v>
      </c>
      <c r="AJ23" s="294">
        <f>SUM(AJ18:AJ22)</f>
        <v>46002</v>
      </c>
      <c r="AK23" s="294">
        <f t="shared" si="2"/>
        <v>41535</v>
      </c>
      <c r="AL23" s="294">
        <f t="shared" si="2"/>
        <v>40940</v>
      </c>
      <c r="AM23" s="294">
        <f t="shared" si="2"/>
        <v>43203</v>
      </c>
      <c r="AN23" s="294">
        <f t="shared" si="2"/>
        <v>53352</v>
      </c>
      <c r="AO23" s="294">
        <f t="shared" si="2"/>
        <v>54145</v>
      </c>
      <c r="AP23" s="294">
        <f t="shared" si="2"/>
        <v>74588</v>
      </c>
      <c r="AQ23" s="294">
        <f t="shared" si="2"/>
        <v>177218</v>
      </c>
      <c r="AR23" s="294"/>
      <c r="AS23" s="294">
        <f>SUM(AS18:AS22)</f>
        <v>47899162</v>
      </c>
      <c r="AT23" s="12"/>
      <c r="AU23" s="12"/>
      <c r="AV23" s="15"/>
    </row>
    <row r="24" spans="1:48" ht="12.75" customHeight="1">
      <c r="A24" s="12"/>
      <c r="B24" s="12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12"/>
      <c r="AU24" s="12"/>
      <c r="AV24" s="15"/>
    </row>
    <row r="25" spans="1:48" ht="12.75" customHeight="1">
      <c r="A25" s="4" t="s">
        <v>142</v>
      </c>
      <c r="B25" s="4"/>
      <c r="C25" s="294"/>
      <c r="D25" s="293"/>
      <c r="E25" s="294"/>
      <c r="F25" s="293"/>
      <c r="G25" s="294"/>
      <c r="H25" s="293"/>
      <c r="I25" s="294"/>
      <c r="J25" s="293"/>
      <c r="K25" s="293"/>
      <c r="L25" s="293"/>
      <c r="M25" s="293"/>
      <c r="N25" s="294"/>
      <c r="O25" s="293"/>
      <c r="P25" s="293"/>
      <c r="Q25" s="294"/>
      <c r="R25" s="293"/>
      <c r="S25" s="294"/>
      <c r="T25" s="293"/>
      <c r="U25" s="293"/>
      <c r="V25" s="294"/>
      <c r="W25" s="294"/>
      <c r="X25" s="293"/>
      <c r="Y25" s="294"/>
      <c r="Z25" s="294"/>
      <c r="AA25" s="293"/>
      <c r="AB25" s="294"/>
      <c r="AC25" s="293"/>
      <c r="AD25" s="294"/>
      <c r="AE25" s="294"/>
      <c r="AF25" s="294"/>
      <c r="AG25" s="293"/>
      <c r="AH25" s="294"/>
      <c r="AI25" s="294"/>
      <c r="AJ25" s="293"/>
      <c r="AK25" s="294"/>
      <c r="AL25" s="294"/>
      <c r="AM25" s="293"/>
      <c r="AN25" s="294"/>
      <c r="AO25" s="294"/>
      <c r="AP25" s="294"/>
      <c r="AQ25" s="294"/>
      <c r="AS25" s="12"/>
      <c r="AT25" s="12"/>
      <c r="AU25" s="12"/>
      <c r="AV25" s="15"/>
    </row>
    <row r="26" spans="1:48" ht="12.75" customHeight="1">
      <c r="A26" s="4" t="s">
        <v>143</v>
      </c>
      <c r="B26" s="4"/>
      <c r="C26" s="294">
        <f aca="true" t="shared" si="3" ref="C26:AQ26">+C15-C23</f>
        <v>68881806</v>
      </c>
      <c r="D26" s="294">
        <f t="shared" si="3"/>
        <v>57462950</v>
      </c>
      <c r="E26" s="294">
        <f t="shared" si="3"/>
        <v>51505215</v>
      </c>
      <c r="F26" s="294">
        <f t="shared" si="3"/>
        <v>28758549</v>
      </c>
      <c r="G26" s="294">
        <f t="shared" si="3"/>
        <v>26269493</v>
      </c>
      <c r="H26" s="294">
        <f t="shared" si="3"/>
        <v>18034302</v>
      </c>
      <c r="I26" s="294">
        <f t="shared" si="3"/>
        <v>41964993</v>
      </c>
      <c r="J26" s="294">
        <f t="shared" si="3"/>
        <v>26182518</v>
      </c>
      <c r="K26" s="294">
        <f t="shared" si="3"/>
        <v>6453607</v>
      </c>
      <c r="L26" s="294">
        <f t="shared" si="3"/>
        <v>13981198</v>
      </c>
      <c r="M26" s="294">
        <f t="shared" si="3"/>
        <v>19021926</v>
      </c>
      <c r="N26" s="294">
        <f t="shared" si="3"/>
        <v>9237412</v>
      </c>
      <c r="O26" s="294">
        <f t="shared" si="3"/>
        <v>23555448</v>
      </c>
      <c r="P26" s="294">
        <f t="shared" si="3"/>
        <v>9584219</v>
      </c>
      <c r="Q26" s="294">
        <f t="shared" si="3"/>
        <v>6796488</v>
      </c>
      <c r="R26" s="294">
        <f t="shared" si="3"/>
        <v>24557818</v>
      </c>
      <c r="S26" s="294">
        <f t="shared" si="3"/>
        <v>5515964</v>
      </c>
      <c r="T26" s="294">
        <f t="shared" si="3"/>
        <v>2611009</v>
      </c>
      <c r="U26" s="294">
        <f t="shared" si="3"/>
        <v>8381087</v>
      </c>
      <c r="V26" s="294">
        <f t="shared" si="3"/>
        <v>9634076</v>
      </c>
      <c r="W26" s="294">
        <f t="shared" si="3"/>
        <v>2632811</v>
      </c>
      <c r="X26" s="294">
        <f t="shared" si="3"/>
        <v>3388432</v>
      </c>
      <c r="Y26" s="294">
        <f t="shared" si="3"/>
        <v>1124215</v>
      </c>
      <c r="Z26" s="294">
        <f t="shared" si="3"/>
        <v>1102194</v>
      </c>
      <c r="AA26" s="294">
        <f t="shared" si="3"/>
        <v>2764032</v>
      </c>
      <c r="AB26" s="294">
        <f t="shared" si="3"/>
        <v>2190937</v>
      </c>
      <c r="AC26" s="294">
        <f t="shared" si="3"/>
        <v>2336729</v>
      </c>
      <c r="AD26" s="294">
        <f t="shared" si="3"/>
        <v>1622523</v>
      </c>
      <c r="AE26" s="294">
        <f t="shared" si="3"/>
        <v>150653</v>
      </c>
      <c r="AF26" s="294">
        <f t="shared" si="3"/>
        <v>589540</v>
      </c>
      <c r="AG26" s="294">
        <f t="shared" si="3"/>
        <v>1511426</v>
      </c>
      <c r="AH26" s="294">
        <f t="shared" si="3"/>
        <v>624649</v>
      </c>
      <c r="AI26" s="294">
        <f t="shared" si="3"/>
        <v>454004</v>
      </c>
      <c r="AJ26" s="294">
        <f>+AJ15-AJ23</f>
        <v>531022</v>
      </c>
      <c r="AK26" s="294">
        <f t="shared" si="3"/>
        <v>134933</v>
      </c>
      <c r="AL26" s="294">
        <f t="shared" si="3"/>
        <v>635650</v>
      </c>
      <c r="AM26" s="294">
        <f t="shared" si="3"/>
        <v>25526</v>
      </c>
      <c r="AN26" s="294">
        <f t="shared" si="3"/>
        <v>170626</v>
      </c>
      <c r="AO26" s="294">
        <f t="shared" si="3"/>
        <v>249994</v>
      </c>
      <c r="AP26" s="294">
        <f t="shared" si="3"/>
        <v>9525</v>
      </c>
      <c r="AQ26" s="294">
        <f t="shared" si="3"/>
        <v>-24359</v>
      </c>
      <c r="AR26" s="294"/>
      <c r="AS26" s="294">
        <f>+AS15-AS23</f>
        <v>480615140</v>
      </c>
      <c r="AT26" s="12"/>
      <c r="AU26" s="12"/>
      <c r="AV26" s="15"/>
    </row>
    <row r="27" spans="1:48" ht="12.75" customHeight="1">
      <c r="A27" s="4"/>
      <c r="B27" s="4"/>
      <c r="C27" s="294"/>
      <c r="D27" s="293"/>
      <c r="E27" s="294"/>
      <c r="F27" s="293"/>
      <c r="G27" s="294"/>
      <c r="H27" s="293"/>
      <c r="I27" s="294"/>
      <c r="J27" s="293"/>
      <c r="K27" s="293"/>
      <c r="L27" s="293"/>
      <c r="M27" s="293"/>
      <c r="N27" s="294"/>
      <c r="O27" s="293"/>
      <c r="P27" s="293"/>
      <c r="Q27" s="294"/>
      <c r="R27" s="293"/>
      <c r="S27" s="294"/>
      <c r="T27" s="293"/>
      <c r="U27" s="293"/>
      <c r="V27" s="294"/>
      <c r="W27" s="294"/>
      <c r="X27" s="293"/>
      <c r="Y27" s="294"/>
      <c r="Z27" s="294"/>
      <c r="AA27" s="293"/>
      <c r="AB27" s="294"/>
      <c r="AC27" s="293"/>
      <c r="AD27" s="294"/>
      <c r="AE27" s="294"/>
      <c r="AF27" s="294"/>
      <c r="AG27" s="293"/>
      <c r="AH27" s="294"/>
      <c r="AI27" s="294"/>
      <c r="AJ27" s="293"/>
      <c r="AK27" s="294"/>
      <c r="AL27" s="294"/>
      <c r="AM27" s="293"/>
      <c r="AN27" s="294"/>
      <c r="AO27" s="294"/>
      <c r="AP27" s="294"/>
      <c r="AQ27" s="294"/>
      <c r="AS27" s="12"/>
      <c r="AT27" s="12"/>
      <c r="AU27" s="12"/>
      <c r="AV27" s="15"/>
    </row>
    <row r="28" spans="1:48" ht="12.75" customHeight="1">
      <c r="A28" s="4" t="s">
        <v>144</v>
      </c>
      <c r="B28" s="4"/>
      <c r="C28" s="294"/>
      <c r="D28" s="293"/>
      <c r="E28" s="294"/>
      <c r="F28" s="293"/>
      <c r="G28" s="294"/>
      <c r="H28" s="293"/>
      <c r="I28" s="294"/>
      <c r="J28" s="293"/>
      <c r="K28" s="293"/>
      <c r="L28" s="293"/>
      <c r="M28" s="293"/>
      <c r="N28" s="294"/>
      <c r="O28" s="293"/>
      <c r="P28" s="293"/>
      <c r="Q28" s="294"/>
      <c r="R28" s="293"/>
      <c r="S28" s="294"/>
      <c r="T28" s="293"/>
      <c r="U28" s="293"/>
      <c r="V28" s="294"/>
      <c r="W28" s="294"/>
      <c r="X28" s="293"/>
      <c r="Y28" s="294"/>
      <c r="Z28" s="294"/>
      <c r="AA28" s="293"/>
      <c r="AB28" s="294"/>
      <c r="AC28" s="293"/>
      <c r="AD28" s="294"/>
      <c r="AE28" s="294"/>
      <c r="AF28" s="294"/>
      <c r="AG28" s="293"/>
      <c r="AH28" s="294"/>
      <c r="AI28" s="294"/>
      <c r="AJ28" s="293"/>
      <c r="AK28" s="294"/>
      <c r="AL28" s="294"/>
      <c r="AM28" s="293"/>
      <c r="AN28" s="294"/>
      <c r="AO28" s="294"/>
      <c r="AP28" s="294"/>
      <c r="AQ28" s="294"/>
      <c r="AS28" s="12"/>
      <c r="AT28" s="12"/>
      <c r="AU28" s="12"/>
      <c r="AV28" s="15"/>
    </row>
    <row r="29" spans="1:48" ht="12.75" customHeight="1">
      <c r="A29" s="6" t="s">
        <v>145</v>
      </c>
      <c r="B29" s="6"/>
      <c r="C29" s="293">
        <v>41582248</v>
      </c>
      <c r="D29" s="293">
        <v>38667057</v>
      </c>
      <c r="E29" s="293">
        <v>40528355</v>
      </c>
      <c r="F29" s="293">
        <v>16255743</v>
      </c>
      <c r="G29" s="293">
        <v>19770926</v>
      </c>
      <c r="H29" s="293">
        <v>11338212</v>
      </c>
      <c r="I29" s="293">
        <v>27719358</v>
      </c>
      <c r="J29" s="293">
        <v>10451016</v>
      </c>
      <c r="K29" s="293">
        <v>976188</v>
      </c>
      <c r="L29" s="293">
        <v>7131391</v>
      </c>
      <c r="M29" s="293">
        <v>15959888</v>
      </c>
      <c r="N29" s="293">
        <v>6993300</v>
      </c>
      <c r="O29" s="293">
        <v>16102956</v>
      </c>
      <c r="P29" s="293">
        <v>7161596</v>
      </c>
      <c r="Q29" s="293">
        <v>2580282</v>
      </c>
      <c r="R29" s="293">
        <v>22574163</v>
      </c>
      <c r="S29" s="293">
        <v>4760191</v>
      </c>
      <c r="T29" s="293">
        <v>1021907</v>
      </c>
      <c r="U29" s="293">
        <v>7869934</v>
      </c>
      <c r="V29" s="293">
        <v>8909314</v>
      </c>
      <c r="W29" s="293">
        <v>1467932</v>
      </c>
      <c r="X29" s="293">
        <v>1453925</v>
      </c>
      <c r="Y29" s="293">
        <v>584998</v>
      </c>
      <c r="Z29" s="293">
        <v>949680</v>
      </c>
      <c r="AA29" s="293">
        <v>2708932</v>
      </c>
      <c r="AB29" s="293">
        <v>2185600</v>
      </c>
      <c r="AC29" s="293">
        <v>2309296</v>
      </c>
      <c r="AD29" s="293">
        <v>433240</v>
      </c>
      <c r="AE29" s="293">
        <v>151330</v>
      </c>
      <c r="AF29" s="293">
        <v>485904</v>
      </c>
      <c r="AG29" s="293">
        <v>1503433</v>
      </c>
      <c r="AH29" s="293">
        <v>603741</v>
      </c>
      <c r="AI29" s="293">
        <v>428216</v>
      </c>
      <c r="AJ29" s="293">
        <v>531434</v>
      </c>
      <c r="AK29" s="294">
        <v>0</v>
      </c>
      <c r="AL29" s="293">
        <v>622207</v>
      </c>
      <c r="AM29" s="293">
        <v>20000</v>
      </c>
      <c r="AN29" s="293">
        <v>23142</v>
      </c>
      <c r="AO29" s="293">
        <v>88685</v>
      </c>
      <c r="AP29" s="294">
        <v>0</v>
      </c>
      <c r="AQ29" s="294">
        <v>0</v>
      </c>
      <c r="AR29" s="15"/>
      <c r="AS29" s="12">
        <f>SUM(C29:AQ29)</f>
        <v>324905720</v>
      </c>
      <c r="AT29" s="12"/>
      <c r="AU29" s="12"/>
      <c r="AV29" s="15"/>
    </row>
    <row r="30" spans="1:48" ht="12.75" customHeight="1">
      <c r="A30" s="6" t="s">
        <v>146</v>
      </c>
      <c r="B30" s="6"/>
      <c r="C30" s="293">
        <v>23485560</v>
      </c>
      <c r="D30" s="293">
        <v>14996473</v>
      </c>
      <c r="E30" s="293">
        <v>10401045</v>
      </c>
      <c r="F30" s="293">
        <v>7904625</v>
      </c>
      <c r="G30" s="293">
        <v>5869585</v>
      </c>
      <c r="H30" s="293">
        <v>5199100</v>
      </c>
      <c r="I30" s="293">
        <v>18684576</v>
      </c>
      <c r="J30" s="293">
        <v>15865176</v>
      </c>
      <c r="K30" s="293">
        <v>5485925</v>
      </c>
      <c r="L30" s="293">
        <v>7568811</v>
      </c>
      <c r="M30" s="293">
        <v>3066180</v>
      </c>
      <c r="N30" s="293">
        <v>2595978</v>
      </c>
      <c r="O30" s="293">
        <v>7298530</v>
      </c>
      <c r="P30" s="293">
        <v>2375211</v>
      </c>
      <c r="Q30" s="293">
        <v>2882195</v>
      </c>
      <c r="R30" s="293">
        <v>640152</v>
      </c>
      <c r="S30" s="293">
        <v>1180688</v>
      </c>
      <c r="T30" s="293">
        <v>1689542</v>
      </c>
      <c r="U30" s="293">
        <v>556383</v>
      </c>
      <c r="V30" s="293">
        <v>473784</v>
      </c>
      <c r="W30" s="293">
        <v>1131531</v>
      </c>
      <c r="X30" s="293">
        <v>1930128</v>
      </c>
      <c r="Y30" s="293">
        <v>520984</v>
      </c>
      <c r="Z30" s="293">
        <v>231861</v>
      </c>
      <c r="AA30" s="293">
        <v>55000</v>
      </c>
      <c r="AB30" s="293">
        <v>50000</v>
      </c>
      <c r="AC30" s="293">
        <v>45000</v>
      </c>
      <c r="AD30" s="293">
        <v>1187754</v>
      </c>
      <c r="AE30" s="294">
        <v>0</v>
      </c>
      <c r="AF30" s="293">
        <v>75650</v>
      </c>
      <c r="AG30" s="293">
        <v>35000</v>
      </c>
      <c r="AH30" s="293">
        <v>20000</v>
      </c>
      <c r="AI30" s="293">
        <v>27304</v>
      </c>
      <c r="AJ30" s="293">
        <v>5000</v>
      </c>
      <c r="AK30" s="294">
        <v>0</v>
      </c>
      <c r="AL30" s="293">
        <v>10000</v>
      </c>
      <c r="AM30" s="293">
        <v>30608</v>
      </c>
      <c r="AN30" s="293">
        <v>143445</v>
      </c>
      <c r="AO30" s="293">
        <v>141089</v>
      </c>
      <c r="AP30" s="294">
        <v>0</v>
      </c>
      <c r="AQ30" s="294">
        <v>0</v>
      </c>
      <c r="AR30" s="15"/>
      <c r="AS30" s="12">
        <f aca="true" t="shared" si="4" ref="AS30:AS35">SUM(C30:AQ30)</f>
        <v>143859873</v>
      </c>
      <c r="AT30" s="12"/>
      <c r="AU30" s="12"/>
      <c r="AV30" s="15"/>
    </row>
    <row r="31" spans="1:48" ht="12.75" customHeight="1">
      <c r="A31" s="6" t="s">
        <v>147</v>
      </c>
      <c r="B31" s="6"/>
      <c r="C31" s="293">
        <v>6947522</v>
      </c>
      <c r="D31" s="293">
        <v>5720274</v>
      </c>
      <c r="E31" s="293">
        <v>1445506</v>
      </c>
      <c r="F31" s="293">
        <v>4754241</v>
      </c>
      <c r="G31" s="294">
        <v>0</v>
      </c>
      <c r="H31" s="293">
        <v>1804614</v>
      </c>
      <c r="I31" s="293">
        <v>141641</v>
      </c>
      <c r="J31" s="293">
        <v>0</v>
      </c>
      <c r="K31" s="293">
        <v>236436</v>
      </c>
      <c r="L31" s="293">
        <v>114326</v>
      </c>
      <c r="M31" s="293">
        <v>230806</v>
      </c>
      <c r="N31" s="293">
        <v>86730</v>
      </c>
      <c r="O31" s="294">
        <v>0</v>
      </c>
      <c r="P31" s="293">
        <v>62022</v>
      </c>
      <c r="Q31" s="293">
        <v>1247241</v>
      </c>
      <c r="R31" s="294">
        <v>0</v>
      </c>
      <c r="S31" s="293">
        <v>389400</v>
      </c>
      <c r="T31" s="294">
        <v>0</v>
      </c>
      <c r="U31" s="293">
        <v>12154</v>
      </c>
      <c r="V31" s="293">
        <v>559303</v>
      </c>
      <c r="W31" s="294">
        <v>0</v>
      </c>
      <c r="X31" s="293">
        <v>21500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3">
        <v>21404</v>
      </c>
      <c r="AE31" s="293">
        <v>2000</v>
      </c>
      <c r="AF31" s="293">
        <v>45503</v>
      </c>
      <c r="AG31" s="294">
        <v>0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3">
        <v>39400</v>
      </c>
      <c r="AP31" s="294">
        <v>0</v>
      </c>
      <c r="AQ31" s="294">
        <v>0</v>
      </c>
      <c r="AR31" s="15"/>
      <c r="AS31" s="12">
        <f t="shared" si="4"/>
        <v>23882023</v>
      </c>
      <c r="AT31" s="12"/>
      <c r="AU31" s="12"/>
      <c r="AV31" s="15"/>
    </row>
    <row r="32" spans="1:48" ht="12.75" customHeight="1">
      <c r="A32" s="6" t="s">
        <v>148</v>
      </c>
      <c r="B32" s="6"/>
      <c r="C32" s="294">
        <v>0</v>
      </c>
      <c r="D32" s="293">
        <v>0</v>
      </c>
      <c r="E32" s="294">
        <v>0</v>
      </c>
      <c r="F32" s="294">
        <v>0</v>
      </c>
      <c r="G32" s="293">
        <v>352736</v>
      </c>
      <c r="H32" s="293">
        <v>6003</v>
      </c>
      <c r="I32" s="293">
        <v>-4151646</v>
      </c>
      <c r="J32" s="294">
        <v>0</v>
      </c>
      <c r="K32" s="294">
        <v>0</v>
      </c>
      <c r="L32" s="293">
        <v>0</v>
      </c>
      <c r="M32" s="294">
        <v>0</v>
      </c>
      <c r="N32" s="294">
        <v>0</v>
      </c>
      <c r="O32" s="293">
        <v>143093</v>
      </c>
      <c r="P32" s="294">
        <v>0</v>
      </c>
      <c r="Q32" s="293">
        <v>111247</v>
      </c>
      <c r="R32" s="293">
        <v>1390277</v>
      </c>
      <c r="S32" s="294">
        <v>0</v>
      </c>
      <c r="T32" s="294">
        <v>0</v>
      </c>
      <c r="U32" s="293">
        <v>0</v>
      </c>
      <c r="V32" s="294">
        <v>0</v>
      </c>
      <c r="W32" s="294">
        <v>0</v>
      </c>
      <c r="X32" s="294">
        <v>0</v>
      </c>
      <c r="Y32" s="294">
        <v>0</v>
      </c>
      <c r="Z32" s="294">
        <v>0</v>
      </c>
      <c r="AA32" s="294">
        <v>0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4">
        <v>0</v>
      </c>
      <c r="AK32" s="293">
        <v>45243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15"/>
      <c r="AS32" s="12">
        <f t="shared" si="4"/>
        <v>-2103047</v>
      </c>
      <c r="AT32" s="12"/>
      <c r="AU32" s="12"/>
      <c r="AV32" s="15"/>
    </row>
    <row r="33" spans="1:48" ht="12.75" customHeight="1">
      <c r="A33" s="6" t="s">
        <v>149</v>
      </c>
      <c r="B33" s="6"/>
      <c r="C33" s="293">
        <v>91273</v>
      </c>
      <c r="D33" s="293">
        <v>17406</v>
      </c>
      <c r="E33" s="293">
        <v>3320</v>
      </c>
      <c r="F33" s="294">
        <v>0</v>
      </c>
      <c r="G33" s="294">
        <v>0</v>
      </c>
      <c r="H33" s="293">
        <v>32745</v>
      </c>
      <c r="I33" s="294">
        <v>0</v>
      </c>
      <c r="J33" s="293">
        <v>1861</v>
      </c>
      <c r="K33" s="294">
        <v>0</v>
      </c>
      <c r="L33" s="293">
        <v>0</v>
      </c>
      <c r="M33" s="294">
        <v>0</v>
      </c>
      <c r="N33" s="293">
        <v>16457</v>
      </c>
      <c r="O33" s="293">
        <v>3184</v>
      </c>
      <c r="P33" s="294">
        <v>0</v>
      </c>
      <c r="Q33" s="294">
        <v>0</v>
      </c>
      <c r="R33" s="294">
        <v>0</v>
      </c>
      <c r="S33" s="293">
        <v>476</v>
      </c>
      <c r="T33" s="293">
        <v>658</v>
      </c>
      <c r="U33" s="293">
        <v>116</v>
      </c>
      <c r="V33" s="293">
        <v>535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3">
        <v>707</v>
      </c>
      <c r="AF33" s="294">
        <v>0</v>
      </c>
      <c r="AG33" s="294">
        <v>0</v>
      </c>
      <c r="AH33" s="294">
        <v>0</v>
      </c>
      <c r="AI33" s="294">
        <v>0</v>
      </c>
      <c r="AJ33" s="294">
        <v>0</v>
      </c>
      <c r="AK33" s="294"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15"/>
      <c r="AS33" s="12">
        <f t="shared" si="4"/>
        <v>168738</v>
      </c>
      <c r="AT33" s="12"/>
      <c r="AU33" s="12"/>
      <c r="AV33" s="15"/>
    </row>
    <row r="34" spans="1:48" ht="12.75" customHeight="1">
      <c r="A34" s="6" t="s">
        <v>150</v>
      </c>
      <c r="B34" s="6"/>
      <c r="C34" s="293">
        <v>4280</v>
      </c>
      <c r="D34" s="293">
        <v>0</v>
      </c>
      <c r="E34" s="294">
        <v>0</v>
      </c>
      <c r="F34" s="294">
        <v>0</v>
      </c>
      <c r="G34" s="294">
        <v>0</v>
      </c>
      <c r="H34" s="294">
        <v>0</v>
      </c>
      <c r="I34" s="294">
        <v>0</v>
      </c>
      <c r="J34" s="294">
        <v>0</v>
      </c>
      <c r="K34" s="294">
        <v>0</v>
      </c>
      <c r="L34" s="293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3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0</v>
      </c>
      <c r="AJ34" s="294">
        <v>0</v>
      </c>
      <c r="AK34" s="294"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15"/>
      <c r="AS34" s="12">
        <f t="shared" si="4"/>
        <v>4280</v>
      </c>
      <c r="AT34" s="12"/>
      <c r="AU34" s="12"/>
      <c r="AV34" s="15"/>
    </row>
    <row r="35" spans="1:48" ht="12.75" customHeight="1">
      <c r="A35" s="6" t="s">
        <v>151</v>
      </c>
      <c r="B35" s="6"/>
      <c r="C35" s="294">
        <v>0</v>
      </c>
      <c r="D35" s="293">
        <v>0</v>
      </c>
      <c r="E35" s="294">
        <v>0</v>
      </c>
      <c r="F35" s="294">
        <v>0</v>
      </c>
      <c r="G35" s="294">
        <v>0</v>
      </c>
      <c r="H35" s="294">
        <v>0</v>
      </c>
      <c r="I35" s="294">
        <v>0</v>
      </c>
      <c r="J35" s="294">
        <v>0</v>
      </c>
      <c r="K35" s="294">
        <v>0</v>
      </c>
      <c r="L35" s="293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94">
        <v>0</v>
      </c>
      <c r="U35" s="293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0</v>
      </c>
      <c r="AJ35" s="294">
        <v>0</v>
      </c>
      <c r="AK35" s="294"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15"/>
      <c r="AS35" s="12">
        <f t="shared" si="4"/>
        <v>0</v>
      </c>
      <c r="AT35" s="12"/>
      <c r="AU35" s="12"/>
      <c r="AV35" s="15"/>
    </row>
    <row r="36" spans="1:48" ht="12.75" customHeight="1">
      <c r="A36" s="19" t="s">
        <v>152</v>
      </c>
      <c r="B36" s="19"/>
      <c r="C36" s="294">
        <f aca="true" t="shared" si="5" ref="C36:AQ36">SUM(C29:C35)</f>
        <v>72110883</v>
      </c>
      <c r="D36" s="294">
        <f t="shared" si="5"/>
        <v>59401210</v>
      </c>
      <c r="E36" s="294">
        <f t="shared" si="5"/>
        <v>52378226</v>
      </c>
      <c r="F36" s="294">
        <f t="shared" si="5"/>
        <v>28914609</v>
      </c>
      <c r="G36" s="294">
        <f t="shared" si="5"/>
        <v>25993247</v>
      </c>
      <c r="H36" s="294">
        <f t="shared" si="5"/>
        <v>18380674</v>
      </c>
      <c r="I36" s="294">
        <f t="shared" si="5"/>
        <v>42393929</v>
      </c>
      <c r="J36" s="294">
        <f t="shared" si="5"/>
        <v>26318053</v>
      </c>
      <c r="K36" s="294">
        <f t="shared" si="5"/>
        <v>6698549</v>
      </c>
      <c r="L36" s="294">
        <f t="shared" si="5"/>
        <v>14814528</v>
      </c>
      <c r="M36" s="294">
        <f t="shared" si="5"/>
        <v>19256874</v>
      </c>
      <c r="N36" s="294">
        <f t="shared" si="5"/>
        <v>9692465</v>
      </c>
      <c r="O36" s="294">
        <f t="shared" si="5"/>
        <v>23547763</v>
      </c>
      <c r="P36" s="294">
        <f t="shared" si="5"/>
        <v>9598829</v>
      </c>
      <c r="Q36" s="294">
        <f t="shared" si="5"/>
        <v>6820965</v>
      </c>
      <c r="R36" s="294">
        <f t="shared" si="5"/>
        <v>24604592</v>
      </c>
      <c r="S36" s="294">
        <f t="shared" si="5"/>
        <v>6330755</v>
      </c>
      <c r="T36" s="294">
        <f t="shared" si="5"/>
        <v>2712107</v>
      </c>
      <c r="U36" s="294">
        <f t="shared" si="5"/>
        <v>8438587</v>
      </c>
      <c r="V36" s="294">
        <f t="shared" si="5"/>
        <v>9942936</v>
      </c>
      <c r="W36" s="294">
        <f t="shared" si="5"/>
        <v>2599463</v>
      </c>
      <c r="X36" s="294">
        <f t="shared" si="5"/>
        <v>3405553</v>
      </c>
      <c r="Y36" s="294">
        <f t="shared" si="5"/>
        <v>1105982</v>
      </c>
      <c r="Z36" s="294">
        <f t="shared" si="5"/>
        <v>1181541</v>
      </c>
      <c r="AA36" s="294">
        <f t="shared" si="5"/>
        <v>2763932</v>
      </c>
      <c r="AB36" s="294">
        <f t="shared" si="5"/>
        <v>2235600</v>
      </c>
      <c r="AC36" s="294">
        <f t="shared" si="5"/>
        <v>2354296</v>
      </c>
      <c r="AD36" s="294">
        <f t="shared" si="5"/>
        <v>1642398</v>
      </c>
      <c r="AE36" s="294">
        <f t="shared" si="5"/>
        <v>154037</v>
      </c>
      <c r="AF36" s="294">
        <f t="shared" si="5"/>
        <v>607057</v>
      </c>
      <c r="AG36" s="294">
        <f t="shared" si="5"/>
        <v>1538433</v>
      </c>
      <c r="AH36" s="294">
        <f t="shared" si="5"/>
        <v>623741</v>
      </c>
      <c r="AI36" s="294">
        <f t="shared" si="5"/>
        <v>455520</v>
      </c>
      <c r="AJ36" s="294">
        <f>SUM(AJ29:AJ35)</f>
        <v>536434</v>
      </c>
      <c r="AK36" s="294">
        <f t="shared" si="5"/>
        <v>45243</v>
      </c>
      <c r="AL36" s="294">
        <f t="shared" si="5"/>
        <v>632207</v>
      </c>
      <c r="AM36" s="294">
        <f t="shared" si="5"/>
        <v>50608</v>
      </c>
      <c r="AN36" s="294">
        <f t="shared" si="5"/>
        <v>166587</v>
      </c>
      <c r="AO36" s="294">
        <f t="shared" si="5"/>
        <v>269174</v>
      </c>
      <c r="AP36" s="294">
        <f t="shared" si="5"/>
        <v>0</v>
      </c>
      <c r="AQ36" s="294">
        <f t="shared" si="5"/>
        <v>0</v>
      </c>
      <c r="AR36" s="294"/>
      <c r="AS36" s="294">
        <f>SUM(AS29:AS35)</f>
        <v>490717587</v>
      </c>
      <c r="AT36" s="12"/>
      <c r="AU36" s="12"/>
      <c r="AV36" s="15"/>
    </row>
    <row r="37" spans="1:48" ht="12.75" customHeight="1">
      <c r="A37" s="6"/>
      <c r="B37" s="6"/>
      <c r="C37" s="294"/>
      <c r="D37" s="293"/>
      <c r="E37" s="294"/>
      <c r="F37" s="294"/>
      <c r="G37" s="294"/>
      <c r="H37" s="294"/>
      <c r="I37" s="294"/>
      <c r="J37" s="294"/>
      <c r="K37" s="294"/>
      <c r="L37" s="293"/>
      <c r="M37" s="294"/>
      <c r="N37" s="294"/>
      <c r="O37" s="294"/>
      <c r="P37" s="294"/>
      <c r="Q37" s="294"/>
      <c r="R37" s="294"/>
      <c r="S37" s="294"/>
      <c r="T37" s="294"/>
      <c r="U37" s="293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S37" s="12"/>
      <c r="AT37" s="12"/>
      <c r="AU37" s="12"/>
      <c r="AV37" s="15"/>
    </row>
    <row r="38" spans="1:48" ht="12.75" customHeight="1">
      <c r="A38" s="4" t="s">
        <v>153</v>
      </c>
      <c r="B38" s="4"/>
      <c r="C38" s="294">
        <f aca="true" t="shared" si="6" ref="C38:AQ38">+C26-C36</f>
        <v>-3229077</v>
      </c>
      <c r="D38" s="294">
        <f t="shared" si="6"/>
        <v>-1938260</v>
      </c>
      <c r="E38" s="294">
        <f t="shared" si="6"/>
        <v>-873011</v>
      </c>
      <c r="F38" s="294">
        <f t="shared" si="6"/>
        <v>-156060</v>
      </c>
      <c r="G38" s="294">
        <f t="shared" si="6"/>
        <v>276246</v>
      </c>
      <c r="H38" s="294">
        <f t="shared" si="6"/>
        <v>-346372</v>
      </c>
      <c r="I38" s="294">
        <f t="shared" si="6"/>
        <v>-428936</v>
      </c>
      <c r="J38" s="294">
        <f t="shared" si="6"/>
        <v>-135535</v>
      </c>
      <c r="K38" s="294">
        <f t="shared" si="6"/>
        <v>-244942</v>
      </c>
      <c r="L38" s="294">
        <f t="shared" si="6"/>
        <v>-833330</v>
      </c>
      <c r="M38" s="294">
        <f t="shared" si="6"/>
        <v>-234948</v>
      </c>
      <c r="N38" s="294">
        <f t="shared" si="6"/>
        <v>-455053</v>
      </c>
      <c r="O38" s="294">
        <f t="shared" si="6"/>
        <v>7685</v>
      </c>
      <c r="P38" s="294">
        <f t="shared" si="6"/>
        <v>-14610</v>
      </c>
      <c r="Q38" s="294">
        <f t="shared" si="6"/>
        <v>-24477</v>
      </c>
      <c r="R38" s="294">
        <f t="shared" si="6"/>
        <v>-46774</v>
      </c>
      <c r="S38" s="294">
        <f t="shared" si="6"/>
        <v>-814791</v>
      </c>
      <c r="T38" s="294">
        <f t="shared" si="6"/>
        <v>-101098</v>
      </c>
      <c r="U38" s="294">
        <f t="shared" si="6"/>
        <v>-57500</v>
      </c>
      <c r="V38" s="294">
        <f t="shared" si="6"/>
        <v>-308860</v>
      </c>
      <c r="W38" s="294">
        <f t="shared" si="6"/>
        <v>33348</v>
      </c>
      <c r="X38" s="294">
        <f t="shared" si="6"/>
        <v>-17121</v>
      </c>
      <c r="Y38" s="294">
        <f t="shared" si="6"/>
        <v>18233</v>
      </c>
      <c r="Z38" s="294">
        <f t="shared" si="6"/>
        <v>-79347</v>
      </c>
      <c r="AA38" s="294">
        <f t="shared" si="6"/>
        <v>100</v>
      </c>
      <c r="AB38" s="294">
        <f t="shared" si="6"/>
        <v>-44663</v>
      </c>
      <c r="AC38" s="294">
        <f t="shared" si="6"/>
        <v>-17567</v>
      </c>
      <c r="AD38" s="294">
        <f t="shared" si="6"/>
        <v>-19875</v>
      </c>
      <c r="AE38" s="294">
        <f t="shared" si="6"/>
        <v>-3384</v>
      </c>
      <c r="AF38" s="294">
        <f t="shared" si="6"/>
        <v>-17517</v>
      </c>
      <c r="AG38" s="294">
        <f t="shared" si="6"/>
        <v>-27007</v>
      </c>
      <c r="AH38" s="294">
        <f t="shared" si="6"/>
        <v>908</v>
      </c>
      <c r="AI38" s="294">
        <f t="shared" si="6"/>
        <v>-1516</v>
      </c>
      <c r="AJ38" s="294">
        <f>+AJ26-AJ36</f>
        <v>-5412</v>
      </c>
      <c r="AK38" s="294">
        <f t="shared" si="6"/>
        <v>89690</v>
      </c>
      <c r="AL38" s="294">
        <f t="shared" si="6"/>
        <v>3443</v>
      </c>
      <c r="AM38" s="294">
        <f t="shared" si="6"/>
        <v>-25082</v>
      </c>
      <c r="AN38" s="294">
        <f t="shared" si="6"/>
        <v>4039</v>
      </c>
      <c r="AO38" s="294">
        <f t="shared" si="6"/>
        <v>-19180</v>
      </c>
      <c r="AP38" s="294">
        <f t="shared" si="6"/>
        <v>9525</v>
      </c>
      <c r="AQ38" s="294">
        <f t="shared" si="6"/>
        <v>-24359</v>
      </c>
      <c r="AR38" s="294"/>
      <c r="AS38" s="294">
        <f>+AS26-AS36</f>
        <v>-10102447</v>
      </c>
      <c r="AT38" s="12"/>
      <c r="AU38" s="12"/>
      <c r="AV38" s="15"/>
    </row>
    <row r="39" spans="1:48" ht="12.75" customHeight="1">
      <c r="A39" s="4"/>
      <c r="B39" s="4"/>
      <c r="C39" s="294"/>
      <c r="D39" s="293"/>
      <c r="E39" s="294"/>
      <c r="F39" s="294"/>
      <c r="G39" s="294"/>
      <c r="H39" s="294"/>
      <c r="I39" s="294"/>
      <c r="J39" s="294"/>
      <c r="K39" s="294"/>
      <c r="L39" s="293"/>
      <c r="M39" s="294"/>
      <c r="N39" s="294"/>
      <c r="O39" s="294"/>
      <c r="P39" s="294"/>
      <c r="Q39" s="294"/>
      <c r="R39" s="294"/>
      <c r="S39" s="294"/>
      <c r="T39" s="294"/>
      <c r="U39" s="293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S39" s="12"/>
      <c r="AT39" s="12"/>
      <c r="AU39" s="12"/>
      <c r="AV39" s="15"/>
    </row>
    <row r="40" spans="1:48" ht="12.75" customHeight="1">
      <c r="A40" s="4" t="s">
        <v>154</v>
      </c>
      <c r="B40" s="4"/>
      <c r="C40" s="293">
        <v>4471245</v>
      </c>
      <c r="D40" s="293">
        <v>3504314</v>
      </c>
      <c r="E40" s="293">
        <v>2051204</v>
      </c>
      <c r="F40" s="293">
        <v>501471</v>
      </c>
      <c r="G40" s="293">
        <v>315119</v>
      </c>
      <c r="H40" s="293">
        <v>1103633</v>
      </c>
      <c r="I40" s="293">
        <v>1432145</v>
      </c>
      <c r="J40" s="293">
        <v>488342</v>
      </c>
      <c r="K40" s="293">
        <v>626855</v>
      </c>
      <c r="L40" s="293">
        <v>1007043</v>
      </c>
      <c r="M40" s="293">
        <v>486423</v>
      </c>
      <c r="N40" s="293">
        <v>757464</v>
      </c>
      <c r="O40" s="293">
        <v>73601</v>
      </c>
      <c r="P40" s="293">
        <v>74709</v>
      </c>
      <c r="Q40" s="293">
        <v>216117</v>
      </c>
      <c r="R40" s="293">
        <v>75118</v>
      </c>
      <c r="S40" s="293">
        <v>814791</v>
      </c>
      <c r="T40" s="293">
        <v>181519</v>
      </c>
      <c r="U40" s="293">
        <v>87501</v>
      </c>
      <c r="V40" s="293">
        <v>324787</v>
      </c>
      <c r="W40" s="293">
        <v>159562</v>
      </c>
      <c r="X40" s="293">
        <v>50089</v>
      </c>
      <c r="Y40" s="293">
        <v>2816</v>
      </c>
      <c r="Z40" s="293">
        <v>502739</v>
      </c>
      <c r="AA40" s="293">
        <v>1259</v>
      </c>
      <c r="AB40" s="293">
        <v>46345</v>
      </c>
      <c r="AC40" s="293">
        <v>22558</v>
      </c>
      <c r="AD40" s="293">
        <v>92000</v>
      </c>
      <c r="AE40" s="293">
        <v>4456</v>
      </c>
      <c r="AF40" s="293">
        <v>32796</v>
      </c>
      <c r="AG40" s="293">
        <v>28117</v>
      </c>
      <c r="AH40" s="293">
        <v>1714</v>
      </c>
      <c r="AI40" s="293">
        <v>72058</v>
      </c>
      <c r="AJ40" s="293">
        <v>5758</v>
      </c>
      <c r="AK40" s="293">
        <v>12681</v>
      </c>
      <c r="AL40" s="293">
        <v>1247</v>
      </c>
      <c r="AM40" s="293">
        <v>73842</v>
      </c>
      <c r="AN40" s="293">
        <v>10346</v>
      </c>
      <c r="AO40" s="293">
        <v>30876</v>
      </c>
      <c r="AP40" s="293">
        <v>52355</v>
      </c>
      <c r="AQ40" s="293">
        <v>38303</v>
      </c>
      <c r="AR40" s="12"/>
      <c r="AS40" s="12">
        <f>SUM(C40:AQ40)</f>
        <v>19835318</v>
      </c>
      <c r="AT40" s="12"/>
      <c r="AU40" s="12"/>
      <c r="AV40" s="15"/>
    </row>
    <row r="41" spans="1:48" ht="12.75" customHeight="1">
      <c r="A41" s="6"/>
      <c r="B41" s="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12"/>
      <c r="AS41" s="12"/>
      <c r="AT41" s="12"/>
      <c r="AU41" s="12"/>
      <c r="AV41" s="15"/>
    </row>
    <row r="42" spans="1:48" ht="12.75" customHeight="1">
      <c r="A42" s="4" t="s">
        <v>155</v>
      </c>
      <c r="B42" s="4"/>
      <c r="C42" s="293">
        <f aca="true" t="shared" si="7" ref="C42:AQ42">+C38+C40</f>
        <v>1242168</v>
      </c>
      <c r="D42" s="293">
        <f t="shared" si="7"/>
        <v>1566054</v>
      </c>
      <c r="E42" s="293">
        <f t="shared" si="7"/>
        <v>1178193</v>
      </c>
      <c r="F42" s="293">
        <f t="shared" si="7"/>
        <v>345411</v>
      </c>
      <c r="G42" s="293">
        <f t="shared" si="7"/>
        <v>591365</v>
      </c>
      <c r="H42" s="293">
        <f t="shared" si="7"/>
        <v>757261</v>
      </c>
      <c r="I42" s="293">
        <f t="shared" si="7"/>
        <v>1003209</v>
      </c>
      <c r="J42" s="293">
        <f t="shared" si="7"/>
        <v>352807</v>
      </c>
      <c r="K42" s="293">
        <f t="shared" si="7"/>
        <v>381913</v>
      </c>
      <c r="L42" s="293">
        <f t="shared" si="7"/>
        <v>173713</v>
      </c>
      <c r="M42" s="293">
        <f t="shared" si="7"/>
        <v>251475</v>
      </c>
      <c r="N42" s="293">
        <f t="shared" si="7"/>
        <v>302411</v>
      </c>
      <c r="O42" s="293">
        <f t="shared" si="7"/>
        <v>81286</v>
      </c>
      <c r="P42" s="293">
        <f t="shared" si="7"/>
        <v>60099</v>
      </c>
      <c r="Q42" s="293">
        <f t="shared" si="7"/>
        <v>191640</v>
      </c>
      <c r="R42" s="293">
        <f t="shared" si="7"/>
        <v>28344</v>
      </c>
      <c r="S42" s="293">
        <f t="shared" si="7"/>
        <v>0</v>
      </c>
      <c r="T42" s="293">
        <f t="shared" si="7"/>
        <v>80421</v>
      </c>
      <c r="U42" s="293">
        <f t="shared" si="7"/>
        <v>30001</v>
      </c>
      <c r="V42" s="293">
        <f t="shared" si="7"/>
        <v>15927</v>
      </c>
      <c r="W42" s="293">
        <f t="shared" si="7"/>
        <v>192910</v>
      </c>
      <c r="X42" s="293">
        <f t="shared" si="7"/>
        <v>32968</v>
      </c>
      <c r="Y42" s="293">
        <f t="shared" si="7"/>
        <v>21049</v>
      </c>
      <c r="Z42" s="293">
        <f t="shared" si="7"/>
        <v>423392</v>
      </c>
      <c r="AA42" s="293">
        <f t="shared" si="7"/>
        <v>1359</v>
      </c>
      <c r="AB42" s="293">
        <f t="shared" si="7"/>
        <v>1682</v>
      </c>
      <c r="AC42" s="293">
        <f t="shared" si="7"/>
        <v>4991</v>
      </c>
      <c r="AD42" s="293">
        <f t="shared" si="7"/>
        <v>72125</v>
      </c>
      <c r="AE42" s="293">
        <f t="shared" si="7"/>
        <v>1072</v>
      </c>
      <c r="AF42" s="293">
        <f t="shared" si="7"/>
        <v>15279</v>
      </c>
      <c r="AG42" s="293">
        <f t="shared" si="7"/>
        <v>1110</v>
      </c>
      <c r="AH42" s="293">
        <f t="shared" si="7"/>
        <v>2622</v>
      </c>
      <c r="AI42" s="293">
        <f t="shared" si="7"/>
        <v>70542</v>
      </c>
      <c r="AJ42" s="293">
        <f>+AJ38+AJ40</f>
        <v>346</v>
      </c>
      <c r="AK42" s="293">
        <f t="shared" si="7"/>
        <v>102371</v>
      </c>
      <c r="AL42" s="293">
        <f t="shared" si="7"/>
        <v>4690</v>
      </c>
      <c r="AM42" s="293">
        <f t="shared" si="7"/>
        <v>48760</v>
      </c>
      <c r="AN42" s="293">
        <f t="shared" si="7"/>
        <v>14385</v>
      </c>
      <c r="AO42" s="293">
        <f t="shared" si="7"/>
        <v>11696</v>
      </c>
      <c r="AP42" s="293">
        <f t="shared" si="7"/>
        <v>61880</v>
      </c>
      <c r="AQ42" s="293">
        <f t="shared" si="7"/>
        <v>13944</v>
      </c>
      <c r="AR42" s="293"/>
      <c r="AS42" s="293">
        <f>+AS38+AS40</f>
        <v>9732871</v>
      </c>
      <c r="AT42" s="12"/>
      <c r="AU42" s="12"/>
      <c r="AV42" s="15"/>
    </row>
    <row r="43" spans="1:48" s="134" customFormat="1" ht="12.75" customHeight="1">
      <c r="A43" s="134" t="s">
        <v>156</v>
      </c>
      <c r="C43" s="232">
        <f>+C42-'3.2 Efnah.'!C36</f>
        <v>0</v>
      </c>
      <c r="D43" s="232">
        <f>+D42-'3.2 Efnah.'!D36</f>
        <v>0</v>
      </c>
      <c r="E43" s="232">
        <f>+E42-'3.2 Efnah.'!E36</f>
        <v>0</v>
      </c>
      <c r="F43" s="232">
        <f>+F42-'3.2 Efnah.'!F36</f>
        <v>1</v>
      </c>
      <c r="G43" s="232">
        <f>+G42-'3.2 Efnah.'!G36</f>
        <v>-3</v>
      </c>
      <c r="H43" s="232">
        <f>+H42-'3.2 Efnah.'!H36</f>
        <v>1</v>
      </c>
      <c r="I43" s="232">
        <f>+I42-'3.2 Efnah.'!I36</f>
        <v>0</v>
      </c>
      <c r="J43" s="232">
        <f>+J42-'3.2 Efnah.'!J36</f>
        <v>0</v>
      </c>
      <c r="K43" s="232">
        <f>+K42-'3.2 Efnah.'!K36</f>
        <v>0</v>
      </c>
      <c r="L43" s="232">
        <f>+L42-'3.2 Efnah.'!L36</f>
        <v>0</v>
      </c>
      <c r="M43" s="232">
        <f>+M42-'3.2 Efnah.'!M36</f>
        <v>0</v>
      </c>
      <c r="N43" s="232">
        <f>+N42-'3.2 Efnah.'!N36</f>
        <v>0</v>
      </c>
      <c r="O43" s="232">
        <f>+O42-'3.2 Efnah.'!O36</f>
        <v>0</v>
      </c>
      <c r="P43" s="232">
        <f>+P42-'3.2 Efnah.'!P36</f>
        <v>-1</v>
      </c>
      <c r="Q43" s="232">
        <f>+Q42-'3.2 Efnah.'!Q36</f>
        <v>0</v>
      </c>
      <c r="R43" s="232">
        <f>+R42-'3.2 Efnah.'!R36</f>
        <v>-1</v>
      </c>
      <c r="S43" s="232">
        <f>+S42-'3.2 Efnah.'!S36</f>
        <v>0</v>
      </c>
      <c r="T43" s="232">
        <f>+T42-'3.2 Efnah.'!T36</f>
        <v>3</v>
      </c>
      <c r="U43" s="232">
        <f>+U42-'3.2 Efnah.'!U36</f>
        <v>1</v>
      </c>
      <c r="V43" s="232">
        <f>+V42-'3.2 Efnah.'!V36</f>
        <v>0</v>
      </c>
      <c r="W43" s="232">
        <f>+W42-'3.2 Efnah.'!W36</f>
        <v>1</v>
      </c>
      <c r="X43" s="232">
        <f>+X42-'3.2 Efnah.'!X36</f>
        <v>0</v>
      </c>
      <c r="Y43" s="232">
        <f>+Y42-'3.2 Efnah.'!Y36</f>
        <v>0</v>
      </c>
      <c r="Z43" s="232">
        <f>+Z42-'3.2 Efnah.'!Z36</f>
        <v>0</v>
      </c>
      <c r="AA43" s="232">
        <f>+AA42-'3.2 Efnah.'!AA36</f>
        <v>0</v>
      </c>
      <c r="AB43" s="232">
        <f>+AB42-'3.2 Efnah.'!AB36</f>
        <v>0</v>
      </c>
      <c r="AC43" s="232">
        <f>+AC42-'3.2 Efnah.'!AC36</f>
        <v>0</v>
      </c>
      <c r="AD43" s="232">
        <f>+AD42-'3.2 Efnah.'!AD36</f>
        <v>0</v>
      </c>
      <c r="AE43" s="232">
        <f>+AE42-'3.2 Efnah.'!AE36</f>
        <v>0</v>
      </c>
      <c r="AF43" s="232">
        <f>+AF42-'3.2 Efnah.'!AF36</f>
        <v>0</v>
      </c>
      <c r="AG43" s="232">
        <f>+AG42-'3.2 Efnah.'!AG36</f>
        <v>0</v>
      </c>
      <c r="AH43" s="232">
        <f>+AH42-'3.2 Efnah.'!AH36</f>
        <v>0</v>
      </c>
      <c r="AI43" s="232">
        <f>+AI42-'3.2 Efnah.'!AI36</f>
        <v>0</v>
      </c>
      <c r="AJ43" s="232">
        <f>+AJ42-'3.2 Efnah.'!AJ36</f>
        <v>0</v>
      </c>
      <c r="AK43" s="232">
        <f>+AK42-'3.2 Efnah.'!AK36</f>
        <v>-1</v>
      </c>
      <c r="AL43" s="232">
        <f>+AL42-'3.2 Efnah.'!AL36</f>
        <v>0</v>
      </c>
      <c r="AM43" s="232">
        <f>+AM42-'3.2 Efnah.'!AM36</f>
        <v>0</v>
      </c>
      <c r="AN43" s="232">
        <f>+AN42-'3.2 Efnah.'!AN36</f>
        <v>0</v>
      </c>
      <c r="AO43" s="232">
        <f>+AO42-'3.2 Efnah.'!AO36</f>
        <v>0</v>
      </c>
      <c r="AP43" s="232">
        <f>+AP42-'3.2 Efnah.'!AP36</f>
        <v>0</v>
      </c>
      <c r="AQ43" s="232">
        <f>+AQ42-'3.2 Efnah.'!AQ36</f>
        <v>0</v>
      </c>
      <c r="AR43" s="232"/>
      <c r="AS43" s="232">
        <f>+AS42-'3.2 Efnah.'!AS36</f>
        <v>1</v>
      </c>
      <c r="AT43" s="80"/>
      <c r="AU43" s="80"/>
      <c r="AV43" s="80"/>
    </row>
    <row r="44" spans="3:45" ht="12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S44" s="12"/>
    </row>
    <row r="45" spans="3:45" ht="12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80"/>
      <c r="AS45" s="80"/>
    </row>
    <row r="46" spans="3:43" ht="12.7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47" ht="12.7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T47" s="12"/>
      <c r="AU47" s="12"/>
    </row>
    <row r="48" spans="3:47" ht="12.7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T48" s="12"/>
      <c r="AU48" s="12"/>
    </row>
    <row r="49" spans="3:47" ht="12.7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S49" s="12"/>
      <c r="AT49" s="12"/>
      <c r="AU49" s="12"/>
    </row>
    <row r="50" spans="3:47" ht="12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S50" s="12"/>
      <c r="AT50" s="12"/>
      <c r="AU50" s="12"/>
    </row>
    <row r="51" spans="3:47" ht="12.7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S51" s="12"/>
      <c r="AT51" s="12"/>
      <c r="AU51" s="12"/>
    </row>
    <row r="52" spans="7:47" ht="12.75" customHeight="1">
      <c r="G52" s="15"/>
      <c r="N52" s="28"/>
      <c r="AP52" s="12"/>
      <c r="AS52" s="12"/>
      <c r="AT52" s="12"/>
      <c r="AU52" s="12"/>
    </row>
    <row r="53" spans="3:47" ht="12.7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S53" s="12"/>
      <c r="AT53" s="12"/>
      <c r="AU53" s="12"/>
    </row>
    <row r="54" spans="7:47" ht="12.75" customHeight="1">
      <c r="G54" s="15"/>
      <c r="N54" s="7"/>
      <c r="AP54" s="12"/>
      <c r="AS54" s="12"/>
      <c r="AT54" s="12"/>
      <c r="AU54" s="12"/>
    </row>
    <row r="55" spans="3:47" ht="12.75" customHeight="1">
      <c r="C55" s="12"/>
      <c r="D55" s="12"/>
      <c r="E55" s="12"/>
      <c r="F55" s="12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S55" s="12"/>
      <c r="AT55" s="12"/>
      <c r="AU55" s="12"/>
    </row>
    <row r="56" spans="7:47" ht="12.75" customHeight="1">
      <c r="G56" s="11"/>
      <c r="N56" s="7"/>
      <c r="AP56" s="12"/>
      <c r="AS56" s="12"/>
      <c r="AT56" s="12"/>
      <c r="AU56" s="12"/>
    </row>
    <row r="57" spans="3:47" ht="12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S57" s="12"/>
      <c r="AT57" s="12"/>
      <c r="AU57" s="12"/>
    </row>
    <row r="58" spans="42:47" ht="12.75" customHeight="1">
      <c r="AP58" s="12"/>
      <c r="AS58" s="12"/>
      <c r="AT58" s="12"/>
      <c r="AU58" s="12"/>
    </row>
    <row r="59" spans="3:47" ht="12.75" customHeight="1"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 t="e">
        <v>#REF!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 t="e">
        <v>#REF!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 t="e">
        <v>#REF!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 t="e">
        <v>#REF!</v>
      </c>
      <c r="AP59" s="80">
        <v>0</v>
      </c>
      <c r="AQ59" s="80">
        <v>0</v>
      </c>
      <c r="AS59" s="12"/>
      <c r="AT59" s="12"/>
      <c r="AU59" s="12"/>
    </row>
    <row r="60" spans="46:47" ht="12.75" customHeight="1">
      <c r="AT60" s="12"/>
      <c r="AU60" s="12"/>
    </row>
    <row r="61" spans="7:47" ht="12.75" customHeight="1">
      <c r="G61" s="11"/>
      <c r="AS61" s="12"/>
      <c r="AT61" s="12"/>
      <c r="AU61" s="12"/>
    </row>
    <row r="62" spans="7:47" ht="12.75" customHeight="1">
      <c r="G62" s="11"/>
      <c r="AS62" s="12"/>
      <c r="AT62" s="12"/>
      <c r="AU62" s="12"/>
    </row>
    <row r="63" spans="45:47" ht="12.75" customHeight="1">
      <c r="AS63" s="28"/>
      <c r="AT63" s="12"/>
      <c r="AU63" s="12"/>
    </row>
    <row r="64" spans="45:47" ht="12.75" customHeight="1">
      <c r="AS64" s="12"/>
      <c r="AT64" s="12"/>
      <c r="AU64" s="12"/>
    </row>
    <row r="65" ht="12.75" customHeight="1">
      <c r="AS65" s="12"/>
    </row>
    <row r="66" ht="12.75" customHeight="1">
      <c r="AS66" s="12"/>
    </row>
  </sheetData>
  <sheetProtection/>
  <mergeCells count="41">
    <mergeCell ref="AM1:AM3"/>
    <mergeCell ref="H1:H3"/>
    <mergeCell ref="AQ1:AQ3"/>
    <mergeCell ref="V1:V3"/>
    <mergeCell ref="AI1:AI3"/>
    <mergeCell ref="AK1:AK3"/>
    <mergeCell ref="AJ1:AJ3"/>
    <mergeCell ref="AO1:AO3"/>
    <mergeCell ref="AG1:AG3"/>
    <mergeCell ref="AH1:AH3"/>
    <mergeCell ref="AN1:AN3"/>
    <mergeCell ref="W1:W3"/>
    <mergeCell ref="E1:E3"/>
    <mergeCell ref="R1:R3"/>
    <mergeCell ref="AA1:AA3"/>
    <mergeCell ref="N1:N3"/>
    <mergeCell ref="M1:M3"/>
    <mergeCell ref="J1:J3"/>
    <mergeCell ref="Q1:Q3"/>
    <mergeCell ref="K1:K3"/>
    <mergeCell ref="L1:L3"/>
    <mergeCell ref="AP1:AP3"/>
    <mergeCell ref="AE1:AE3"/>
    <mergeCell ref="I1:I3"/>
    <mergeCell ref="S1:S3"/>
    <mergeCell ref="Y1:Y3"/>
    <mergeCell ref="U1:U3"/>
    <mergeCell ref="Z1:Z3"/>
    <mergeCell ref="X1:X3"/>
    <mergeCell ref="AF1:AF3"/>
    <mergeCell ref="T1:T3"/>
    <mergeCell ref="AL1:AL3"/>
    <mergeCell ref="C1:C3"/>
    <mergeCell ref="AC1:AC3"/>
    <mergeCell ref="O1:O3"/>
    <mergeCell ref="D1:D3"/>
    <mergeCell ref="P1:P3"/>
    <mergeCell ref="F1:F3"/>
    <mergeCell ref="AD1:AD3"/>
    <mergeCell ref="AB1:AB3"/>
    <mergeCell ref="G1:G3"/>
  </mergeCells>
  <printOptions/>
  <pageMargins left="0.4724409448818898" right="0.31496062992125984" top="1.1811023622047245" bottom="0.4724409448818898" header="0.5118110236220472" footer="0.5118110236220472"/>
  <pageSetup firstPageNumber="22" useFirstPageNumber="1" horizontalDpi="600" verticalDpi="600" orientation="portrait" paperSize="9" r:id="rId1"/>
  <headerFooter alignWithMargins="0">
    <oddHeader>&amp;C&amp;"Times New Roman,Bold"&amp;12 3.3. SJÓÐSTREYMI ÁRIÐ 2006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279"/>
  <sheetViews>
    <sheetView view="pageBreakPreview" zoomScaleSheetLayoutView="100" zoomScalePageLayoutView="0" workbookViewId="0" topLeftCell="A1">
      <pane xSplit="2" ySplit="5" topLeftCell="AN8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AZ61" sqref="AZ61"/>
    </sheetView>
  </sheetViews>
  <sheetFormatPr defaultColWidth="8.8515625" defaultRowHeight="11.25" customHeight="1" outlineLevelRow="1"/>
  <cols>
    <col min="1" max="1" width="24.421875" style="11" customWidth="1"/>
    <col min="2" max="2" width="0.71875" style="11" customWidth="1"/>
    <col min="3" max="4" width="9.28125" style="11" customWidth="1"/>
    <col min="5" max="6" width="10.28125" style="11" customWidth="1"/>
    <col min="7" max="15" width="9.28125" style="11" customWidth="1"/>
    <col min="16" max="16" width="9.7109375" style="11" customWidth="1"/>
    <col min="17" max="18" width="9.28125" style="11" customWidth="1"/>
    <col min="19" max="21" width="9.7109375" style="11" customWidth="1"/>
    <col min="22" max="35" width="9.28125" style="11" customWidth="1"/>
    <col min="36" max="36" width="9.421875" style="11" customWidth="1"/>
    <col min="37" max="38" width="9.28125" style="11" customWidth="1"/>
    <col min="39" max="39" width="9.7109375" style="11" customWidth="1"/>
    <col min="40" max="50" width="9.28125" style="11" customWidth="1"/>
    <col min="51" max="51" width="5.7109375" style="11" customWidth="1"/>
    <col min="52" max="52" width="10.7109375" style="11" customWidth="1"/>
    <col min="53" max="53" width="2.28125" style="11" customWidth="1"/>
    <col min="54" max="54" width="9.421875" style="11" customWidth="1"/>
    <col min="55" max="55" width="11.140625" style="11" customWidth="1"/>
    <col min="56" max="16384" width="8.8515625" style="11" customWidth="1"/>
  </cols>
  <sheetData>
    <row r="1" spans="2:53" s="21" customFormat="1" ht="10.5" customHeight="1">
      <c r="B1" s="10"/>
      <c r="C1" s="364" t="s">
        <v>173</v>
      </c>
      <c r="D1" s="364"/>
      <c r="E1" s="360" t="s">
        <v>176</v>
      </c>
      <c r="F1" s="360" t="s">
        <v>25</v>
      </c>
      <c r="G1" s="360" t="s">
        <v>0</v>
      </c>
      <c r="H1" s="360"/>
      <c r="I1" s="364" t="s">
        <v>23</v>
      </c>
      <c r="J1" s="364"/>
      <c r="K1" s="364"/>
      <c r="L1" s="360" t="s">
        <v>33</v>
      </c>
      <c r="M1" s="360" t="s">
        <v>1</v>
      </c>
      <c r="N1" s="360" t="s">
        <v>29</v>
      </c>
      <c r="O1" s="360" t="s">
        <v>2</v>
      </c>
      <c r="P1" s="360" t="s">
        <v>24</v>
      </c>
      <c r="Q1" s="364" t="s">
        <v>3</v>
      </c>
      <c r="R1" s="364"/>
      <c r="S1" s="360" t="s">
        <v>27</v>
      </c>
      <c r="T1" s="360" t="s">
        <v>31</v>
      </c>
      <c r="U1" s="360" t="s">
        <v>32</v>
      </c>
      <c r="V1" s="364" t="s">
        <v>243</v>
      </c>
      <c r="W1" s="364"/>
      <c r="X1" s="360" t="s">
        <v>410</v>
      </c>
      <c r="Y1" s="360" t="s">
        <v>165</v>
      </c>
      <c r="Z1" s="360" t="s">
        <v>244</v>
      </c>
      <c r="AA1" s="360" t="s">
        <v>28</v>
      </c>
      <c r="AB1" s="360" t="s">
        <v>159</v>
      </c>
      <c r="AC1" s="360" t="s">
        <v>172</v>
      </c>
      <c r="AD1" s="360" t="s">
        <v>170</v>
      </c>
      <c r="AE1" s="360" t="s">
        <v>234</v>
      </c>
      <c r="AF1" s="360" t="s">
        <v>30</v>
      </c>
      <c r="AG1" s="364" t="s">
        <v>238</v>
      </c>
      <c r="AH1" s="364"/>
      <c r="AI1" s="360" t="s">
        <v>164</v>
      </c>
      <c r="AJ1" s="360" t="s">
        <v>175</v>
      </c>
      <c r="AK1" s="360" t="s">
        <v>171</v>
      </c>
      <c r="AL1" s="360" t="s">
        <v>168</v>
      </c>
      <c r="AM1" s="360" t="s">
        <v>160</v>
      </c>
      <c r="AN1" s="360" t="s">
        <v>166</v>
      </c>
      <c r="AO1" s="360" t="s">
        <v>163</v>
      </c>
      <c r="AP1" s="360" t="s">
        <v>4</v>
      </c>
      <c r="AQ1" s="360" t="s">
        <v>161</v>
      </c>
      <c r="AR1" s="360" t="s">
        <v>5</v>
      </c>
      <c r="AS1" s="360" t="s">
        <v>167</v>
      </c>
      <c r="AT1" s="360" t="s">
        <v>6</v>
      </c>
      <c r="AU1" s="360" t="s">
        <v>169</v>
      </c>
      <c r="AV1" s="360" t="s">
        <v>240</v>
      </c>
      <c r="AW1" s="360" t="s">
        <v>174</v>
      </c>
      <c r="AX1" s="360" t="s">
        <v>162</v>
      </c>
      <c r="AY1" s="10"/>
      <c r="BA1" s="13"/>
    </row>
    <row r="2" spans="1:55" s="21" customFormat="1" ht="11.25" customHeight="1">
      <c r="A2" s="10"/>
      <c r="B2" s="10"/>
      <c r="C2" s="13"/>
      <c r="D2" s="13"/>
      <c r="E2" s="360"/>
      <c r="F2" s="360"/>
      <c r="G2" s="22"/>
      <c r="H2" s="22"/>
      <c r="I2" s="13"/>
      <c r="J2" s="13"/>
      <c r="K2" s="13"/>
      <c r="L2" s="360"/>
      <c r="M2" s="360"/>
      <c r="N2" s="360"/>
      <c r="O2" s="360"/>
      <c r="P2" s="360"/>
      <c r="Q2" s="13"/>
      <c r="R2" s="13"/>
      <c r="S2" s="360"/>
      <c r="T2" s="360"/>
      <c r="U2" s="360"/>
      <c r="V2" s="13"/>
      <c r="W2" s="13"/>
      <c r="X2" s="360"/>
      <c r="Y2" s="360"/>
      <c r="Z2" s="360"/>
      <c r="AA2" s="360"/>
      <c r="AB2" s="360"/>
      <c r="AC2" s="360"/>
      <c r="AD2" s="360"/>
      <c r="AE2" s="360"/>
      <c r="AF2" s="360"/>
      <c r="AG2" s="13"/>
      <c r="AH2" s="13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10"/>
      <c r="AZ2" s="13" t="s">
        <v>9</v>
      </c>
      <c r="BA2" s="13"/>
      <c r="BB2" s="13" t="s">
        <v>7</v>
      </c>
      <c r="BC2" s="13" t="s">
        <v>7</v>
      </c>
    </row>
    <row r="3" spans="2:55" s="21" customFormat="1" ht="10.5" customHeight="1">
      <c r="B3" s="10"/>
      <c r="E3" s="360" t="s">
        <v>37</v>
      </c>
      <c r="F3" s="360" t="s">
        <v>37</v>
      </c>
      <c r="L3" s="360" t="s">
        <v>37</v>
      </c>
      <c r="M3" s="360" t="s">
        <v>37</v>
      </c>
      <c r="N3" s="360" t="s">
        <v>38</v>
      </c>
      <c r="O3" s="360" t="s">
        <v>37</v>
      </c>
      <c r="P3" s="360"/>
      <c r="S3" s="360" t="s">
        <v>38</v>
      </c>
      <c r="T3" s="360" t="s">
        <v>37</v>
      </c>
      <c r="U3" s="360" t="s">
        <v>37</v>
      </c>
      <c r="X3" s="360" t="s">
        <v>37</v>
      </c>
      <c r="Y3" s="360" t="s">
        <v>37</v>
      </c>
      <c r="Z3" s="360" t="s">
        <v>37</v>
      </c>
      <c r="AA3" s="360" t="s">
        <v>37</v>
      </c>
      <c r="AB3" s="360"/>
      <c r="AC3" s="360" t="s">
        <v>37</v>
      </c>
      <c r="AD3" s="360" t="s">
        <v>37</v>
      </c>
      <c r="AE3" s="360"/>
      <c r="AF3" s="360" t="s">
        <v>37</v>
      </c>
      <c r="AI3" s="360" t="s">
        <v>37</v>
      </c>
      <c r="AJ3" s="360" t="s">
        <v>37</v>
      </c>
      <c r="AK3" s="360" t="s">
        <v>37</v>
      </c>
      <c r="AL3" s="360" t="s">
        <v>37</v>
      </c>
      <c r="AM3" s="360"/>
      <c r="AN3" s="360" t="s">
        <v>37</v>
      </c>
      <c r="AO3" s="360" t="s">
        <v>37</v>
      </c>
      <c r="AP3" s="360"/>
      <c r="AQ3" s="360"/>
      <c r="AR3" s="360"/>
      <c r="AS3" s="360" t="s">
        <v>37</v>
      </c>
      <c r="AT3" s="360" t="s">
        <v>37</v>
      </c>
      <c r="AU3" s="360" t="s">
        <v>37</v>
      </c>
      <c r="AV3" s="360" t="s">
        <v>37</v>
      </c>
      <c r="AW3" s="360" t="s">
        <v>18</v>
      </c>
      <c r="AX3" s="360"/>
      <c r="AY3" s="10"/>
      <c r="AZ3" s="13" t="s">
        <v>12</v>
      </c>
      <c r="BA3" s="13"/>
      <c r="BB3" s="13" t="s">
        <v>10</v>
      </c>
      <c r="BC3" s="13" t="s">
        <v>11</v>
      </c>
    </row>
    <row r="4" spans="1:51" s="21" customFormat="1" ht="10.5" customHeight="1">
      <c r="A4" s="10" t="s">
        <v>8</v>
      </c>
      <c r="B4" s="10"/>
      <c r="C4" s="363" t="s">
        <v>544</v>
      </c>
      <c r="D4" s="363"/>
      <c r="E4" s="332" t="s">
        <v>578</v>
      </c>
      <c r="F4" s="332" t="s">
        <v>555</v>
      </c>
      <c r="G4" s="363" t="s">
        <v>582</v>
      </c>
      <c r="H4" s="363"/>
      <c r="I4" s="10"/>
      <c r="J4" s="332" t="s">
        <v>545</v>
      </c>
      <c r="K4" s="10"/>
      <c r="L4" s="332" t="s">
        <v>584</v>
      </c>
      <c r="M4" s="332" t="s">
        <v>554</v>
      </c>
      <c r="N4" s="332" t="s">
        <v>566</v>
      </c>
      <c r="O4" s="332" t="s">
        <v>583</v>
      </c>
      <c r="P4" s="332" t="s">
        <v>553</v>
      </c>
      <c r="Q4" s="363" t="s">
        <v>560</v>
      </c>
      <c r="R4" s="363"/>
      <c r="S4" s="332" t="s">
        <v>558</v>
      </c>
      <c r="T4" s="332" t="s">
        <v>577</v>
      </c>
      <c r="U4" s="332" t="s">
        <v>579</v>
      </c>
      <c r="V4" s="363" t="s">
        <v>574</v>
      </c>
      <c r="W4" s="363"/>
      <c r="X4" s="332" t="s">
        <v>556</v>
      </c>
      <c r="Y4" s="332" t="s">
        <v>563</v>
      </c>
      <c r="Z4" s="332" t="s">
        <v>580</v>
      </c>
      <c r="AA4" s="332" t="s">
        <v>559</v>
      </c>
      <c r="AB4" s="332" t="s">
        <v>546</v>
      </c>
      <c r="AC4" s="332" t="s">
        <v>573</v>
      </c>
      <c r="AD4" s="332" t="s">
        <v>570</v>
      </c>
      <c r="AE4" s="332" t="s">
        <v>549</v>
      </c>
      <c r="AF4" s="332" t="s">
        <v>567</v>
      </c>
      <c r="AG4" s="363" t="s">
        <v>561</v>
      </c>
      <c r="AH4" s="363"/>
      <c r="AI4" s="332" t="s">
        <v>562</v>
      </c>
      <c r="AJ4" s="332" t="s">
        <v>576</v>
      </c>
      <c r="AK4" s="332" t="s">
        <v>572</v>
      </c>
      <c r="AL4" s="332" t="s">
        <v>569</v>
      </c>
      <c r="AM4" s="332" t="s">
        <v>550</v>
      </c>
      <c r="AN4" s="332" t="s">
        <v>564</v>
      </c>
      <c r="AO4" s="332" t="s">
        <v>557</v>
      </c>
      <c r="AP4" s="332" t="s">
        <v>547</v>
      </c>
      <c r="AQ4" s="332" t="s">
        <v>551</v>
      </c>
      <c r="AR4" s="332" t="s">
        <v>548</v>
      </c>
      <c r="AS4" s="332" t="s">
        <v>568</v>
      </c>
      <c r="AT4" s="332" t="s">
        <v>581</v>
      </c>
      <c r="AU4" s="332" t="s">
        <v>571</v>
      </c>
      <c r="AV4" s="332" t="s">
        <v>565</v>
      </c>
      <c r="AW4" s="332" t="s">
        <v>575</v>
      </c>
      <c r="AX4" s="332" t="s">
        <v>552</v>
      </c>
      <c r="AY4" s="10"/>
    </row>
    <row r="5" spans="1:55" s="21" customFormat="1" ht="10.5" customHeight="1">
      <c r="A5" s="10"/>
      <c r="B5" s="10"/>
      <c r="C5" s="10" t="s">
        <v>15</v>
      </c>
      <c r="D5" s="10" t="s">
        <v>14</v>
      </c>
      <c r="E5" s="295"/>
      <c r="F5" s="295"/>
      <c r="G5" s="42" t="s">
        <v>177</v>
      </c>
      <c r="H5" s="42" t="s">
        <v>16</v>
      </c>
      <c r="I5" s="10" t="s">
        <v>34</v>
      </c>
      <c r="J5" s="10" t="s">
        <v>35</v>
      </c>
      <c r="K5" s="10" t="s">
        <v>36</v>
      </c>
      <c r="L5" s="295"/>
      <c r="M5" s="295"/>
      <c r="N5" s="295"/>
      <c r="O5" s="295"/>
      <c r="P5" s="295"/>
      <c r="Q5" s="10" t="s">
        <v>39</v>
      </c>
      <c r="R5" s="10" t="s">
        <v>16</v>
      </c>
      <c r="S5" s="295"/>
      <c r="T5" s="295"/>
      <c r="U5" s="295"/>
      <c r="V5" s="10" t="s">
        <v>15</v>
      </c>
      <c r="W5" s="10" t="s">
        <v>17</v>
      </c>
      <c r="X5" s="295"/>
      <c r="Y5" s="295"/>
      <c r="Z5" s="295"/>
      <c r="AA5" s="295"/>
      <c r="AB5" s="295"/>
      <c r="AC5" s="295"/>
      <c r="AD5" s="295"/>
      <c r="AE5" s="295"/>
      <c r="AF5" s="295"/>
      <c r="AG5" s="10" t="s">
        <v>18</v>
      </c>
      <c r="AH5" s="10" t="s">
        <v>19</v>
      </c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10"/>
      <c r="AZ5" s="21" t="str">
        <f>CONCATENATE(AZ163," deildir")</f>
        <v>48 deildir</v>
      </c>
      <c r="BA5" s="10"/>
      <c r="BB5" s="21" t="str">
        <f>CONCATENATE(BB163," deildir")</f>
        <v>14 deildir</v>
      </c>
      <c r="BC5" s="21" t="str">
        <f>CONCATENATE(BC163," deildir")</f>
        <v>34 deildir</v>
      </c>
    </row>
    <row r="6" spans="1:53" ht="13.5" customHeight="1">
      <c r="A6" s="9" t="s">
        <v>40</v>
      </c>
      <c r="B6" s="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36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12"/>
      <c r="BA6" s="10"/>
    </row>
    <row r="7" spans="1:51" ht="14.25" customHeight="1">
      <c r="A7" s="9" t="s">
        <v>41</v>
      </c>
      <c r="B7" s="5"/>
      <c r="C7" s="23"/>
      <c r="D7" s="24"/>
      <c r="E7" s="24"/>
      <c r="F7" s="24"/>
      <c r="G7" s="23"/>
      <c r="H7" s="24"/>
      <c r="I7" s="23"/>
      <c r="J7" s="23"/>
      <c r="K7" s="24"/>
      <c r="L7" s="24"/>
      <c r="M7" s="24"/>
      <c r="N7" s="24"/>
      <c r="O7" s="24"/>
      <c r="P7" s="24"/>
      <c r="Q7" s="24"/>
      <c r="R7" s="23"/>
      <c r="S7" s="24"/>
      <c r="T7" s="24"/>
      <c r="U7" s="24"/>
      <c r="V7" s="24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12"/>
    </row>
    <row r="8" spans="1:55" ht="10.5" customHeight="1" outlineLevel="1">
      <c r="A8" s="4" t="s">
        <v>42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5" customFormat="1" ht="11.25" customHeight="1" outlineLevel="1">
      <c r="A9" s="15" t="s">
        <v>43</v>
      </c>
      <c r="C9" s="15">
        <v>2739778</v>
      </c>
      <c r="D9" s="15">
        <v>865401</v>
      </c>
      <c r="E9" s="15">
        <v>4465371</v>
      </c>
      <c r="F9" s="15">
        <v>2722313</v>
      </c>
      <c r="G9" s="15">
        <v>763192</v>
      </c>
      <c r="H9" s="15">
        <v>680117</v>
      </c>
      <c r="I9" s="15">
        <v>164287</v>
      </c>
      <c r="J9" s="15">
        <v>0</v>
      </c>
      <c r="K9" s="15">
        <v>349772</v>
      </c>
      <c r="L9" s="15">
        <v>1095159</v>
      </c>
      <c r="M9" s="15">
        <v>526963</v>
      </c>
      <c r="N9" s="15">
        <v>783870</v>
      </c>
      <c r="O9" s="15">
        <v>805339</v>
      </c>
      <c r="P9" s="15">
        <v>1000897</v>
      </c>
      <c r="Q9" s="15">
        <v>73082</v>
      </c>
      <c r="R9" s="15">
        <v>426773</v>
      </c>
      <c r="S9" s="15">
        <v>825970</v>
      </c>
      <c r="T9" s="15">
        <v>658747</v>
      </c>
      <c r="U9" s="15">
        <v>251794</v>
      </c>
      <c r="V9" s="15">
        <v>793386</v>
      </c>
      <c r="W9" s="15">
        <v>150305</v>
      </c>
      <c r="X9" s="15">
        <v>176343</v>
      </c>
      <c r="Y9" s="15">
        <v>85735</v>
      </c>
      <c r="Z9" s="15">
        <v>208238</v>
      </c>
      <c r="AA9" s="15">
        <v>148280</v>
      </c>
      <c r="AB9" s="15">
        <v>162899</v>
      </c>
      <c r="AC9" s="15">
        <v>135626</v>
      </c>
      <c r="AD9" s="15">
        <v>20151</v>
      </c>
      <c r="AE9" s="15">
        <v>1957</v>
      </c>
      <c r="AF9" s="15">
        <v>59911</v>
      </c>
      <c r="AG9" s="15">
        <v>0</v>
      </c>
      <c r="AH9" s="15">
        <v>0</v>
      </c>
      <c r="AI9" s="15">
        <v>0</v>
      </c>
      <c r="AJ9" s="15">
        <v>15070</v>
      </c>
      <c r="AK9" s="15">
        <v>22249</v>
      </c>
      <c r="AL9" s="15">
        <v>22142</v>
      </c>
      <c r="AM9" s="15">
        <v>22664</v>
      </c>
      <c r="AN9" s="15">
        <v>0</v>
      </c>
      <c r="AO9" s="15">
        <v>7005</v>
      </c>
      <c r="AP9" s="15">
        <v>16160</v>
      </c>
      <c r="AQ9" s="15">
        <v>-420</v>
      </c>
      <c r="AR9" s="15">
        <v>0</v>
      </c>
      <c r="AS9" s="15">
        <v>0</v>
      </c>
      <c r="AT9" s="15">
        <v>0</v>
      </c>
      <c r="AU9" s="15">
        <v>2438</v>
      </c>
      <c r="AV9" s="15">
        <v>2094</v>
      </c>
      <c r="AW9" s="15">
        <v>5352</v>
      </c>
      <c r="AX9" s="15">
        <v>0</v>
      </c>
      <c r="AZ9" s="15">
        <f>SUM(C9:AY9)</f>
        <v>21256410</v>
      </c>
      <c r="BB9" s="25">
        <f>SUMIF($C$163:$AX$163,"já",C9:AX9)</f>
        <v>1188823</v>
      </c>
      <c r="BC9" s="25">
        <f>SUMIF($C$163:$AX$163,"nei",C9:AX9)</f>
        <v>20067587</v>
      </c>
    </row>
    <row r="10" spans="1:55" s="15" customFormat="1" ht="11.25" customHeight="1" outlineLevel="1">
      <c r="A10" s="15" t="s">
        <v>44</v>
      </c>
      <c r="C10" s="15">
        <v>7862270</v>
      </c>
      <c r="D10" s="15">
        <v>1533543</v>
      </c>
      <c r="E10" s="15">
        <v>7709444</v>
      </c>
      <c r="F10" s="15">
        <v>5020679</v>
      </c>
      <c r="G10" s="15">
        <v>1381837</v>
      </c>
      <c r="H10" s="15">
        <v>1181513</v>
      </c>
      <c r="I10" s="15">
        <v>864395</v>
      </c>
      <c r="J10" s="15">
        <v>0</v>
      </c>
      <c r="K10" s="15">
        <v>531339</v>
      </c>
      <c r="L10" s="15">
        <v>1972656</v>
      </c>
      <c r="M10" s="15">
        <v>950777</v>
      </c>
      <c r="N10" s="15">
        <v>1502233</v>
      </c>
      <c r="O10" s="15">
        <v>1303087</v>
      </c>
      <c r="P10" s="15">
        <v>1809368</v>
      </c>
      <c r="Q10" s="15">
        <v>268465</v>
      </c>
      <c r="R10" s="15">
        <v>640903</v>
      </c>
      <c r="S10" s="15">
        <v>1480778</v>
      </c>
      <c r="T10" s="15">
        <v>986365</v>
      </c>
      <c r="U10" s="15">
        <v>440771</v>
      </c>
      <c r="V10" s="15">
        <v>2281888</v>
      </c>
      <c r="W10" s="15">
        <v>347199</v>
      </c>
      <c r="X10" s="15">
        <v>285949</v>
      </c>
      <c r="Y10" s="15">
        <v>148441</v>
      </c>
      <c r="Z10" s="15">
        <v>374799</v>
      </c>
      <c r="AA10" s="15">
        <v>286090</v>
      </c>
      <c r="AB10" s="15">
        <v>651421</v>
      </c>
      <c r="AC10" s="15">
        <v>367228</v>
      </c>
      <c r="AD10" s="15">
        <v>73570</v>
      </c>
      <c r="AE10" s="15">
        <v>485288</v>
      </c>
      <c r="AF10" s="15">
        <v>111709</v>
      </c>
      <c r="AG10" s="15">
        <v>0</v>
      </c>
      <c r="AH10" s="15">
        <v>0</v>
      </c>
      <c r="AI10" s="15">
        <v>0</v>
      </c>
      <c r="AJ10" s="15">
        <v>23749</v>
      </c>
      <c r="AK10" s="15">
        <v>33349</v>
      </c>
      <c r="AL10" s="15">
        <v>135631</v>
      </c>
      <c r="AM10" s="15">
        <v>52091</v>
      </c>
      <c r="AN10" s="15">
        <v>0</v>
      </c>
      <c r="AO10" s="15">
        <v>10507</v>
      </c>
      <c r="AP10" s="15">
        <v>24240</v>
      </c>
      <c r="AQ10" s="15">
        <v>0</v>
      </c>
      <c r="AR10" s="15">
        <v>0</v>
      </c>
      <c r="AS10" s="15">
        <v>0</v>
      </c>
      <c r="AT10" s="15">
        <v>0</v>
      </c>
      <c r="AU10" s="15">
        <v>3921</v>
      </c>
      <c r="AV10" s="15">
        <v>3141</v>
      </c>
      <c r="AW10" s="15">
        <v>8029</v>
      </c>
      <c r="AX10" s="15">
        <v>0</v>
      </c>
      <c r="AZ10" s="15">
        <f>SUM(C10:AY10)</f>
        <v>43148663</v>
      </c>
      <c r="BB10" s="25">
        <f>SUMIF($C$163:$AX$163,"já",C10:AX10)</f>
        <v>2805409</v>
      </c>
      <c r="BC10" s="25">
        <f>SUMIF($C$163:$AX$163,"nei",C10:AX10)</f>
        <v>40343254</v>
      </c>
    </row>
    <row r="11" spans="1:55" s="15" customFormat="1" ht="11.25" customHeight="1" outlineLevel="1">
      <c r="A11" s="15" t="s">
        <v>45</v>
      </c>
      <c r="C11" s="15">
        <v>1175</v>
      </c>
      <c r="D11" s="15">
        <v>-6113</v>
      </c>
      <c r="E11" s="15">
        <v>0</v>
      </c>
      <c r="F11" s="15">
        <v>15456</v>
      </c>
      <c r="G11" s="15">
        <v>-15244</v>
      </c>
      <c r="H11" s="15">
        <v>7639</v>
      </c>
      <c r="I11" s="15">
        <v>0</v>
      </c>
      <c r="J11" s="15">
        <v>473096</v>
      </c>
      <c r="K11" s="15">
        <v>13778</v>
      </c>
      <c r="L11" s="15">
        <v>-11431</v>
      </c>
      <c r="M11" s="15">
        <v>-2289</v>
      </c>
      <c r="N11" s="15">
        <v>2064</v>
      </c>
      <c r="O11" s="15">
        <v>-31333</v>
      </c>
      <c r="P11" s="15">
        <v>-9237</v>
      </c>
      <c r="Q11" s="15">
        <v>-2611</v>
      </c>
      <c r="R11" s="15">
        <v>-482</v>
      </c>
      <c r="S11" s="15">
        <v>-49885</v>
      </c>
      <c r="T11" s="15">
        <v>4852</v>
      </c>
      <c r="U11" s="15">
        <v>-388</v>
      </c>
      <c r="V11" s="15">
        <v>8668</v>
      </c>
      <c r="W11" s="15">
        <v>-47285</v>
      </c>
      <c r="X11" s="15">
        <v>-939</v>
      </c>
      <c r="Y11" s="15">
        <v>-114</v>
      </c>
      <c r="Z11" s="15">
        <v>-2361</v>
      </c>
      <c r="AA11" s="15">
        <v>2851</v>
      </c>
      <c r="AB11" s="15">
        <v>0</v>
      </c>
      <c r="AC11" s="15">
        <v>-3854</v>
      </c>
      <c r="AD11" s="15">
        <v>0</v>
      </c>
      <c r="AE11" s="15">
        <v>-52216</v>
      </c>
      <c r="AF11" s="15">
        <v>-9265</v>
      </c>
      <c r="AG11" s="15">
        <v>-360</v>
      </c>
      <c r="AH11" s="15">
        <v>0</v>
      </c>
      <c r="AI11" s="15">
        <v>0</v>
      </c>
      <c r="AJ11" s="15">
        <v>0</v>
      </c>
      <c r="AK11" s="15">
        <v>266</v>
      </c>
      <c r="AL11" s="15">
        <v>-506</v>
      </c>
      <c r="AM11" s="15">
        <v>0</v>
      </c>
      <c r="AN11" s="15">
        <v>-321</v>
      </c>
      <c r="AO11" s="15">
        <v>-413</v>
      </c>
      <c r="AP11" s="15">
        <v>0</v>
      </c>
      <c r="AQ11" s="15">
        <v>0</v>
      </c>
      <c r="AR11" s="15">
        <v>339</v>
      </c>
      <c r="AS11" s="15">
        <v>-186</v>
      </c>
      <c r="AT11" s="15">
        <v>-1</v>
      </c>
      <c r="AU11" s="15">
        <v>0</v>
      </c>
      <c r="AV11" s="15">
        <v>0</v>
      </c>
      <c r="AW11" s="15">
        <v>1174</v>
      </c>
      <c r="AX11" s="15">
        <v>0</v>
      </c>
      <c r="AZ11" s="15">
        <f>SUM(C11:AY11)</f>
        <v>284524</v>
      </c>
      <c r="BB11" s="25">
        <f>SUMIF($C$163:$AX$163,"já",C11:AX11)</f>
        <v>-61776</v>
      </c>
      <c r="BC11" s="25">
        <f>SUMIF($C$163:$AX$163,"nei",C11:AX11)</f>
        <v>346300</v>
      </c>
    </row>
    <row r="12" spans="1:55" s="15" customFormat="1" ht="11.25" customHeight="1" outlineLevel="1">
      <c r="A12" s="15" t="s">
        <v>46</v>
      </c>
      <c r="C12" s="12">
        <v>0</v>
      </c>
      <c r="D12" s="12">
        <v>11700699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-1744616</v>
      </c>
      <c r="N12" s="12">
        <v>0</v>
      </c>
      <c r="O12" s="12">
        <v>0</v>
      </c>
      <c r="P12" s="12">
        <v>0</v>
      </c>
      <c r="Q12" s="12">
        <v>1407516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843753</v>
      </c>
      <c r="Z12" s="12">
        <v>0</v>
      </c>
      <c r="AA12" s="12">
        <v>0</v>
      </c>
      <c r="AB12" s="12">
        <v>0</v>
      </c>
      <c r="AC12" s="12">
        <v>1668165</v>
      </c>
      <c r="AD12" s="12">
        <v>0</v>
      </c>
      <c r="AE12" s="12">
        <v>0</v>
      </c>
      <c r="AF12" s="12">
        <v>0</v>
      </c>
      <c r="AG12" s="12">
        <v>0</v>
      </c>
      <c r="AH12" s="12">
        <v>11699</v>
      </c>
      <c r="AI12" s="12">
        <v>0</v>
      </c>
      <c r="AJ12" s="12">
        <v>0</v>
      </c>
      <c r="AK12" s="12">
        <v>85196</v>
      </c>
      <c r="AL12" s="12">
        <v>0</v>
      </c>
      <c r="AM12" s="12">
        <v>0</v>
      </c>
      <c r="AN12" s="12">
        <v>20682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34417</v>
      </c>
      <c r="AV12" s="12">
        <v>259262</v>
      </c>
      <c r="AW12" s="15">
        <v>63325</v>
      </c>
      <c r="AX12" s="12">
        <v>128500</v>
      </c>
      <c r="AY12" s="12"/>
      <c r="AZ12" s="12">
        <f>SUM(C12:AY12)</f>
        <v>14478598</v>
      </c>
      <c r="BA12" s="12"/>
      <c r="BB12" s="25">
        <f>SUMIF($C$163:$AX$163,"já",C12:AX12)</f>
        <v>14795016</v>
      </c>
      <c r="BC12" s="25">
        <f>SUMIF($C$163:$AX$163,"nei",C12:AX12)</f>
        <v>-316418</v>
      </c>
    </row>
    <row r="13" spans="1:55" ht="11.25" customHeight="1">
      <c r="A13" s="4" t="s">
        <v>47</v>
      </c>
      <c r="B13" s="4"/>
      <c r="C13" s="11">
        <f aca="true" t="shared" si="0" ref="C13:AX13">SUM(C9:C12)</f>
        <v>10603223</v>
      </c>
      <c r="D13" s="11">
        <f t="shared" si="0"/>
        <v>14093530</v>
      </c>
      <c r="E13" s="11">
        <f t="shared" si="0"/>
        <v>12174815</v>
      </c>
      <c r="F13" s="11">
        <f t="shared" si="0"/>
        <v>7758448</v>
      </c>
      <c r="G13" s="11">
        <f t="shared" si="0"/>
        <v>2129785</v>
      </c>
      <c r="H13" s="11">
        <f t="shared" si="0"/>
        <v>1869269</v>
      </c>
      <c r="I13" s="11">
        <f t="shared" si="0"/>
        <v>1028682</v>
      </c>
      <c r="J13" s="11">
        <f t="shared" si="0"/>
        <v>473096</v>
      </c>
      <c r="K13" s="11">
        <f t="shared" si="0"/>
        <v>894889</v>
      </c>
      <c r="L13" s="11">
        <f t="shared" si="0"/>
        <v>3056384</v>
      </c>
      <c r="M13" s="11">
        <f t="shared" si="0"/>
        <v>-269165</v>
      </c>
      <c r="N13" s="11">
        <f t="shared" si="0"/>
        <v>2288167</v>
      </c>
      <c r="O13" s="11">
        <f t="shared" si="0"/>
        <v>2077093</v>
      </c>
      <c r="P13" s="11">
        <f t="shared" si="0"/>
        <v>2801028</v>
      </c>
      <c r="Q13" s="11">
        <f t="shared" si="0"/>
        <v>1746452</v>
      </c>
      <c r="R13" s="11">
        <f t="shared" si="0"/>
        <v>1067194</v>
      </c>
      <c r="S13" s="11">
        <f t="shared" si="0"/>
        <v>2256863</v>
      </c>
      <c r="T13" s="11">
        <f t="shared" si="0"/>
        <v>1649964</v>
      </c>
      <c r="U13" s="11">
        <f t="shared" si="0"/>
        <v>692177</v>
      </c>
      <c r="V13" s="11">
        <f t="shared" si="0"/>
        <v>3083942</v>
      </c>
      <c r="W13" s="11">
        <f t="shared" si="0"/>
        <v>450219</v>
      </c>
      <c r="X13" s="11">
        <f t="shared" si="0"/>
        <v>461353</v>
      </c>
      <c r="Y13" s="11">
        <f t="shared" si="0"/>
        <v>1077815</v>
      </c>
      <c r="Z13" s="11">
        <f t="shared" si="0"/>
        <v>580676</v>
      </c>
      <c r="AA13" s="11">
        <f t="shared" si="0"/>
        <v>437221</v>
      </c>
      <c r="AB13" s="11">
        <f t="shared" si="0"/>
        <v>814320</v>
      </c>
      <c r="AC13" s="11">
        <f t="shared" si="0"/>
        <v>2167165</v>
      </c>
      <c r="AD13" s="11">
        <f t="shared" si="0"/>
        <v>93721</v>
      </c>
      <c r="AE13" s="11">
        <f t="shared" si="0"/>
        <v>435029</v>
      </c>
      <c r="AF13" s="11">
        <f t="shared" si="0"/>
        <v>162355</v>
      </c>
      <c r="AG13" s="11">
        <f t="shared" si="0"/>
        <v>-360</v>
      </c>
      <c r="AH13" s="11">
        <f t="shared" si="0"/>
        <v>11699</v>
      </c>
      <c r="AI13" s="11">
        <f t="shared" si="0"/>
        <v>0</v>
      </c>
      <c r="AJ13" s="11">
        <f t="shared" si="0"/>
        <v>38819</v>
      </c>
      <c r="AK13" s="11">
        <f t="shared" si="0"/>
        <v>141060</v>
      </c>
      <c r="AL13" s="11">
        <f t="shared" si="0"/>
        <v>157267</v>
      </c>
      <c r="AM13" s="11">
        <f t="shared" si="0"/>
        <v>74755</v>
      </c>
      <c r="AN13" s="11">
        <f t="shared" si="0"/>
        <v>20361</v>
      </c>
      <c r="AO13" s="11">
        <f t="shared" si="0"/>
        <v>17099</v>
      </c>
      <c r="AP13" s="11">
        <f t="shared" si="0"/>
        <v>40400</v>
      </c>
      <c r="AQ13" s="11">
        <f t="shared" si="0"/>
        <v>-420</v>
      </c>
      <c r="AR13" s="11">
        <f t="shared" si="0"/>
        <v>339</v>
      </c>
      <c r="AS13" s="11">
        <f t="shared" si="0"/>
        <v>-186</v>
      </c>
      <c r="AT13" s="11">
        <f t="shared" si="0"/>
        <v>-1</v>
      </c>
      <c r="AU13" s="11">
        <f t="shared" si="0"/>
        <v>40776</v>
      </c>
      <c r="AV13" s="11">
        <f t="shared" si="0"/>
        <v>264497</v>
      </c>
      <c r="AW13" s="11">
        <f t="shared" si="0"/>
        <v>77880</v>
      </c>
      <c r="AX13" s="11">
        <f t="shared" si="0"/>
        <v>128500</v>
      </c>
      <c r="AY13" s="26"/>
      <c r="AZ13" s="12">
        <f>SUM(AZ9:AZ12)</f>
        <v>79168195</v>
      </c>
      <c r="BA13" s="12"/>
      <c r="BB13" s="2">
        <f>SUM(BB9:BB12)</f>
        <v>18727472</v>
      </c>
      <c r="BC13" s="2">
        <f>SUM(BC9:BC12)</f>
        <v>60440723</v>
      </c>
    </row>
    <row r="14" spans="1:55" ht="11.25" customHeight="1">
      <c r="A14" s="4"/>
      <c r="B14" s="4"/>
      <c r="C14" s="26"/>
      <c r="D14" s="26"/>
      <c r="G14" s="26"/>
      <c r="H14" s="26"/>
      <c r="K14" s="26"/>
      <c r="L14" s="26"/>
      <c r="N14" s="26"/>
      <c r="O14" s="26"/>
      <c r="P14" s="15"/>
      <c r="Q14" s="26"/>
      <c r="S14" s="26"/>
      <c r="T14" s="26"/>
      <c r="U14" s="26"/>
      <c r="V14" s="26"/>
      <c r="W14" s="26"/>
      <c r="Y14" s="26"/>
      <c r="Z14" s="26"/>
      <c r="AB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V14" s="26"/>
      <c r="AW14" s="15"/>
      <c r="AX14" s="26"/>
      <c r="AY14" s="26"/>
      <c r="AZ14" s="12"/>
      <c r="BA14" s="12"/>
      <c r="BB14" s="2"/>
      <c r="BC14" s="2"/>
    </row>
    <row r="15" spans="1:55" ht="11.25" customHeight="1" outlineLevel="1">
      <c r="A15" s="4" t="s">
        <v>48</v>
      </c>
      <c r="B15" s="4"/>
      <c r="C15" s="15"/>
      <c r="D15" s="15"/>
      <c r="E15" s="15"/>
      <c r="F15" s="15"/>
      <c r="G15" s="15"/>
      <c r="H15" s="15"/>
      <c r="I15" s="15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2"/>
      <c r="BA15" s="12"/>
      <c r="BB15" s="2"/>
      <c r="BC15" s="2"/>
    </row>
    <row r="16" spans="1:55" ht="11.25" customHeight="1" outlineLevel="1">
      <c r="A16" s="6" t="s">
        <v>49</v>
      </c>
      <c r="B16" s="6"/>
      <c r="C16" s="15">
        <v>368626</v>
      </c>
      <c r="D16" s="15">
        <v>13572698</v>
      </c>
      <c r="E16" s="15">
        <v>3417529</v>
      </c>
      <c r="F16" s="11">
        <v>4840152</v>
      </c>
      <c r="G16" s="15">
        <v>10519</v>
      </c>
      <c r="H16" s="15">
        <v>2026458</v>
      </c>
      <c r="I16" s="11">
        <v>0</v>
      </c>
      <c r="J16" s="11">
        <v>508204</v>
      </c>
      <c r="K16" s="15">
        <v>76153</v>
      </c>
      <c r="L16" s="15">
        <v>1399420</v>
      </c>
      <c r="M16" s="15">
        <v>142033</v>
      </c>
      <c r="N16" s="15">
        <v>1353782</v>
      </c>
      <c r="O16" s="11">
        <v>503696</v>
      </c>
      <c r="P16" s="15">
        <v>1176120</v>
      </c>
      <c r="Q16" s="15">
        <v>871037</v>
      </c>
      <c r="R16" s="15">
        <v>35368</v>
      </c>
      <c r="S16" s="15">
        <v>543226</v>
      </c>
      <c r="T16" s="15">
        <v>220167</v>
      </c>
      <c r="U16" s="15">
        <v>516642</v>
      </c>
      <c r="V16" s="15">
        <v>210846</v>
      </c>
      <c r="W16" s="15">
        <v>4957</v>
      </c>
      <c r="X16" s="11">
        <v>2737</v>
      </c>
      <c r="Y16" s="15">
        <v>969830</v>
      </c>
      <c r="Z16" s="15">
        <v>436452</v>
      </c>
      <c r="AA16" s="15">
        <v>742521</v>
      </c>
      <c r="AB16" s="15">
        <v>405141</v>
      </c>
      <c r="AC16" s="15">
        <v>1737655</v>
      </c>
      <c r="AD16" s="15">
        <v>368464</v>
      </c>
      <c r="AE16" s="15">
        <v>166680</v>
      </c>
      <c r="AF16" s="15">
        <v>88936</v>
      </c>
      <c r="AG16" s="15">
        <v>150768</v>
      </c>
      <c r="AH16" s="15">
        <v>29332</v>
      </c>
      <c r="AI16" s="15">
        <v>117589</v>
      </c>
      <c r="AJ16" s="15">
        <v>1857</v>
      </c>
      <c r="AK16" s="15">
        <v>154902</v>
      </c>
      <c r="AL16" s="15">
        <v>229833</v>
      </c>
      <c r="AM16" s="15">
        <v>89974</v>
      </c>
      <c r="AN16" s="15">
        <v>84576</v>
      </c>
      <c r="AO16" s="15">
        <v>142489</v>
      </c>
      <c r="AP16" s="15">
        <v>39633</v>
      </c>
      <c r="AQ16" s="15">
        <v>44039</v>
      </c>
      <c r="AR16" s="15">
        <v>39394</v>
      </c>
      <c r="AS16" s="15">
        <v>38984</v>
      </c>
      <c r="AT16" s="15">
        <v>41905</v>
      </c>
      <c r="AU16" s="15">
        <v>51369</v>
      </c>
      <c r="AV16" s="15">
        <v>55768</v>
      </c>
      <c r="AW16" s="15">
        <v>72411</v>
      </c>
      <c r="AX16" s="15">
        <v>173722</v>
      </c>
      <c r="AY16" s="15"/>
      <c r="AZ16" s="12">
        <f>SUM(C16:AY16)</f>
        <v>38274594</v>
      </c>
      <c r="BA16" s="12"/>
      <c r="BB16" s="25">
        <f>SUMIF($C$163:$AX$163,"já",C16:AX16)</f>
        <v>17486296</v>
      </c>
      <c r="BC16" s="25">
        <f>SUMIF($C$163:$AX$163,"nei",C16:AX16)</f>
        <v>20788298</v>
      </c>
    </row>
    <row r="17" spans="1:55" ht="11.25" customHeight="1" outlineLevel="1">
      <c r="A17" s="6" t="s">
        <v>50</v>
      </c>
      <c r="B17" s="6"/>
      <c r="C17" s="15">
        <v>0</v>
      </c>
      <c r="D17" s="15">
        <v>0</v>
      </c>
      <c r="E17" s="15">
        <v>-1829</v>
      </c>
      <c r="F17" s="11">
        <v>-25381</v>
      </c>
      <c r="G17" s="15">
        <v>0</v>
      </c>
      <c r="H17" s="15">
        <v>-9361</v>
      </c>
      <c r="I17" s="11">
        <v>0</v>
      </c>
      <c r="J17" s="11">
        <v>0</v>
      </c>
      <c r="K17" s="15">
        <v>0</v>
      </c>
      <c r="L17" s="15">
        <v>-3852</v>
      </c>
      <c r="M17" s="15">
        <v>-382</v>
      </c>
      <c r="N17" s="15">
        <v>-10590</v>
      </c>
      <c r="O17" s="15">
        <v>0</v>
      </c>
      <c r="P17" s="15">
        <v>-10673</v>
      </c>
      <c r="Q17" s="15">
        <v>0</v>
      </c>
      <c r="R17" s="15">
        <v>0</v>
      </c>
      <c r="S17" s="15">
        <v>-3416</v>
      </c>
      <c r="T17" s="15">
        <v>0</v>
      </c>
      <c r="U17" s="15">
        <v>-4110</v>
      </c>
      <c r="V17" s="15">
        <v>0</v>
      </c>
      <c r="W17" s="15">
        <v>0</v>
      </c>
      <c r="X17" s="11">
        <v>0</v>
      </c>
      <c r="Y17" s="15">
        <v>0</v>
      </c>
      <c r="Z17" s="15">
        <v>-1729</v>
      </c>
      <c r="AA17" s="15">
        <v>-45063</v>
      </c>
      <c r="AB17" s="15">
        <v>0</v>
      </c>
      <c r="AC17" s="15">
        <v>0</v>
      </c>
      <c r="AD17" s="15">
        <v>0</v>
      </c>
      <c r="AE17" s="15">
        <v>0</v>
      </c>
      <c r="AF17" s="15">
        <v>-209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-166</v>
      </c>
      <c r="AO17" s="15">
        <v>-63985</v>
      </c>
      <c r="AP17" s="15">
        <v>0</v>
      </c>
      <c r="AQ17" s="15">
        <v>0</v>
      </c>
      <c r="AR17" s="15">
        <v>-276</v>
      </c>
      <c r="AS17" s="15">
        <v>-607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/>
      <c r="AZ17" s="12">
        <f>SUM(C17:AY17)</f>
        <v>-181629</v>
      </c>
      <c r="BA17" s="12"/>
      <c r="BB17" s="25">
        <f>SUMIF($C$163:$AX$163,"já",C17:AX17)</f>
        <v>-63985</v>
      </c>
      <c r="BC17" s="25">
        <f>SUMIF($C$163:$AX$163,"nei",C17:AX17)</f>
        <v>-117644</v>
      </c>
    </row>
    <row r="18" spans="1:55" ht="11.25" customHeight="1" outlineLevel="1">
      <c r="A18" s="6" t="s">
        <v>51</v>
      </c>
      <c r="B18" s="6"/>
      <c r="C18" s="15">
        <v>241</v>
      </c>
      <c r="D18" s="15">
        <v>553</v>
      </c>
      <c r="E18" s="15">
        <v>6624</v>
      </c>
      <c r="F18" s="11">
        <v>8966</v>
      </c>
      <c r="G18" s="15">
        <v>0</v>
      </c>
      <c r="H18" s="15">
        <v>5363</v>
      </c>
      <c r="I18" s="11">
        <v>0</v>
      </c>
      <c r="J18" s="11">
        <v>0</v>
      </c>
      <c r="K18" s="15">
        <v>0</v>
      </c>
      <c r="L18" s="15">
        <v>2738</v>
      </c>
      <c r="M18" s="11">
        <v>0</v>
      </c>
      <c r="N18" s="15">
        <v>4111</v>
      </c>
      <c r="O18" s="15">
        <v>2881</v>
      </c>
      <c r="P18" s="15">
        <v>1533</v>
      </c>
      <c r="Q18" s="11">
        <v>0</v>
      </c>
      <c r="R18" s="15">
        <v>0</v>
      </c>
      <c r="S18" s="11">
        <v>0</v>
      </c>
      <c r="T18" s="15">
        <v>18</v>
      </c>
      <c r="U18" s="15">
        <v>1297</v>
      </c>
      <c r="V18" s="15">
        <v>6369</v>
      </c>
      <c r="W18" s="15">
        <v>598</v>
      </c>
      <c r="X18" s="11">
        <v>0</v>
      </c>
      <c r="Y18" s="15">
        <v>37</v>
      </c>
      <c r="Z18" s="15">
        <v>0</v>
      </c>
      <c r="AA18" s="15">
        <v>504</v>
      </c>
      <c r="AB18" s="15">
        <v>56</v>
      </c>
      <c r="AC18" s="15">
        <v>0</v>
      </c>
      <c r="AD18" s="15">
        <v>0</v>
      </c>
      <c r="AE18" s="15">
        <v>0</v>
      </c>
      <c r="AF18" s="15">
        <v>9</v>
      </c>
      <c r="AG18" s="15">
        <v>0</v>
      </c>
      <c r="AH18" s="15">
        <v>0</v>
      </c>
      <c r="AI18" s="15">
        <v>0</v>
      </c>
      <c r="AJ18" s="15">
        <v>447</v>
      </c>
      <c r="AK18" s="15">
        <v>0</v>
      </c>
      <c r="AL18" s="15">
        <v>0</v>
      </c>
      <c r="AM18" s="15">
        <v>310</v>
      </c>
      <c r="AN18" s="15">
        <v>0</v>
      </c>
      <c r="AO18" s="11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/>
      <c r="AZ18" s="12">
        <f>SUM(C18:AY18)</f>
        <v>42655</v>
      </c>
      <c r="BA18" s="12"/>
      <c r="BB18" s="25">
        <f>SUMIF($C$163:$AX$163,"já",C18:AX18)</f>
        <v>900</v>
      </c>
      <c r="BC18" s="25">
        <f>SUMIF($C$163:$AX$163,"nei",C18:AX18)</f>
        <v>41755</v>
      </c>
    </row>
    <row r="19" spans="1:55" ht="11.25" customHeight="1" outlineLevel="1">
      <c r="A19" s="6" t="s">
        <v>52</v>
      </c>
      <c r="B19" s="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1260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-518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/>
      <c r="AZ19" s="12">
        <f>SUM(C19:AY19)</f>
        <v>742</v>
      </c>
      <c r="BA19" s="12"/>
      <c r="BB19" s="25">
        <f>SUMIF($C$163:$AX$163,"já",C19:AX19)</f>
        <v>0</v>
      </c>
      <c r="BC19" s="25">
        <f>SUMIF($C$163:$AX$163,"nei",C19:AX19)</f>
        <v>742</v>
      </c>
    </row>
    <row r="20" spans="1:55" ht="11.25" customHeight="1">
      <c r="A20" s="4" t="s">
        <v>53</v>
      </c>
      <c r="B20" s="4"/>
      <c r="C20" s="11">
        <f aca="true" t="shared" si="1" ref="C20:AX20">SUM(C16:C19)</f>
        <v>368867</v>
      </c>
      <c r="D20" s="11">
        <f t="shared" si="1"/>
        <v>13573251</v>
      </c>
      <c r="E20" s="11">
        <f t="shared" si="1"/>
        <v>3422324</v>
      </c>
      <c r="F20" s="11">
        <f t="shared" si="1"/>
        <v>4823737</v>
      </c>
      <c r="G20" s="11">
        <f t="shared" si="1"/>
        <v>10519</v>
      </c>
      <c r="H20" s="11">
        <f t="shared" si="1"/>
        <v>2022460</v>
      </c>
      <c r="I20" s="11">
        <f t="shared" si="1"/>
        <v>0</v>
      </c>
      <c r="J20" s="11">
        <f t="shared" si="1"/>
        <v>508204</v>
      </c>
      <c r="K20" s="11">
        <f t="shared" si="1"/>
        <v>76153</v>
      </c>
      <c r="L20" s="11">
        <f t="shared" si="1"/>
        <v>1398306</v>
      </c>
      <c r="M20" s="11">
        <f t="shared" si="1"/>
        <v>141651</v>
      </c>
      <c r="N20" s="11">
        <f t="shared" si="1"/>
        <v>1347303</v>
      </c>
      <c r="O20" s="11">
        <f t="shared" si="1"/>
        <v>506577</v>
      </c>
      <c r="P20" s="11">
        <f t="shared" si="1"/>
        <v>1166980</v>
      </c>
      <c r="Q20" s="11">
        <f t="shared" si="1"/>
        <v>871037</v>
      </c>
      <c r="R20" s="11">
        <f t="shared" si="1"/>
        <v>35368</v>
      </c>
      <c r="S20" s="11">
        <f t="shared" si="1"/>
        <v>539810</v>
      </c>
      <c r="T20" s="11">
        <f t="shared" si="1"/>
        <v>220185</v>
      </c>
      <c r="U20" s="11">
        <f t="shared" si="1"/>
        <v>513829</v>
      </c>
      <c r="V20" s="11">
        <f t="shared" si="1"/>
        <v>217215</v>
      </c>
      <c r="W20" s="11">
        <f t="shared" si="1"/>
        <v>5555</v>
      </c>
      <c r="X20" s="11">
        <f t="shared" si="1"/>
        <v>3997</v>
      </c>
      <c r="Y20" s="11">
        <f t="shared" si="1"/>
        <v>969867</v>
      </c>
      <c r="Z20" s="11">
        <f t="shared" si="1"/>
        <v>434723</v>
      </c>
      <c r="AA20" s="11">
        <f t="shared" si="1"/>
        <v>697962</v>
      </c>
      <c r="AB20" s="11">
        <f t="shared" si="1"/>
        <v>405197</v>
      </c>
      <c r="AC20" s="11">
        <f t="shared" si="1"/>
        <v>1737655</v>
      </c>
      <c r="AD20" s="11">
        <f t="shared" si="1"/>
        <v>368464</v>
      </c>
      <c r="AE20" s="11">
        <f t="shared" si="1"/>
        <v>166680</v>
      </c>
      <c r="AF20" s="11">
        <f t="shared" si="1"/>
        <v>88736</v>
      </c>
      <c r="AG20" s="11">
        <f t="shared" si="1"/>
        <v>150768</v>
      </c>
      <c r="AH20" s="11">
        <f t="shared" si="1"/>
        <v>29332</v>
      </c>
      <c r="AI20" s="11">
        <f t="shared" si="1"/>
        <v>117589</v>
      </c>
      <c r="AJ20" s="11">
        <f t="shared" si="1"/>
        <v>1786</v>
      </c>
      <c r="AK20" s="11">
        <f t="shared" si="1"/>
        <v>154902</v>
      </c>
      <c r="AL20" s="11">
        <f t="shared" si="1"/>
        <v>229833</v>
      </c>
      <c r="AM20" s="11">
        <f t="shared" si="1"/>
        <v>90284</v>
      </c>
      <c r="AN20" s="11">
        <f t="shared" si="1"/>
        <v>84410</v>
      </c>
      <c r="AO20" s="11">
        <f t="shared" si="1"/>
        <v>78504</v>
      </c>
      <c r="AP20" s="11">
        <f t="shared" si="1"/>
        <v>39633</v>
      </c>
      <c r="AQ20" s="11">
        <f t="shared" si="1"/>
        <v>44039</v>
      </c>
      <c r="AR20" s="11">
        <f t="shared" si="1"/>
        <v>39118</v>
      </c>
      <c r="AS20" s="11">
        <f t="shared" si="1"/>
        <v>38377</v>
      </c>
      <c r="AT20" s="11">
        <f t="shared" si="1"/>
        <v>41905</v>
      </c>
      <c r="AU20" s="11">
        <f t="shared" si="1"/>
        <v>51369</v>
      </c>
      <c r="AV20" s="11">
        <f t="shared" si="1"/>
        <v>55768</v>
      </c>
      <c r="AW20" s="11">
        <f t="shared" si="1"/>
        <v>72411</v>
      </c>
      <c r="AX20" s="11">
        <f t="shared" si="1"/>
        <v>173722</v>
      </c>
      <c r="AY20" s="26"/>
      <c r="AZ20" s="12">
        <f>SUM(AZ16:AZ19)</f>
        <v>38136362</v>
      </c>
      <c r="BA20" s="12"/>
      <c r="BB20" s="2">
        <f>SUM(BB16:BB19)</f>
        <v>17423211</v>
      </c>
      <c r="BC20" s="2">
        <f>SUM(BC16:BC19)</f>
        <v>20713151</v>
      </c>
    </row>
    <row r="21" spans="1:55" ht="11.25" customHeight="1">
      <c r="A21" s="4"/>
      <c r="B21" s="4"/>
      <c r="C21" s="26"/>
      <c r="D21" s="26"/>
      <c r="G21" s="26"/>
      <c r="H21" s="26"/>
      <c r="K21" s="26"/>
      <c r="L21" s="26"/>
      <c r="N21" s="26"/>
      <c r="O21" s="26"/>
      <c r="P21" s="15"/>
      <c r="Q21" s="26"/>
      <c r="S21" s="26"/>
      <c r="T21" s="26"/>
      <c r="U21" s="26"/>
      <c r="V21" s="26"/>
      <c r="W21" s="26"/>
      <c r="Y21" s="26"/>
      <c r="Z21" s="26"/>
      <c r="AB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15"/>
      <c r="AV21" s="26"/>
      <c r="AW21" s="26"/>
      <c r="AX21" s="26"/>
      <c r="AY21" s="26"/>
      <c r="AZ21" s="12"/>
      <c r="BA21" s="12"/>
      <c r="BB21" s="2"/>
      <c r="BC21" s="2"/>
    </row>
    <row r="22" spans="1:55" ht="11.25" customHeight="1" outlineLevel="1">
      <c r="A22" s="4" t="s">
        <v>54</v>
      </c>
      <c r="B22" s="4"/>
      <c r="C22" s="15"/>
      <c r="D22" s="15"/>
      <c r="E22" s="15"/>
      <c r="G22" s="15"/>
      <c r="H22" s="15"/>
      <c r="K22" s="15"/>
      <c r="L22" s="15"/>
      <c r="N22" s="15"/>
      <c r="O22" s="15"/>
      <c r="P22" s="15"/>
      <c r="R22" s="15"/>
      <c r="T22" s="15"/>
      <c r="U22" s="15"/>
      <c r="V22" s="15"/>
      <c r="W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2"/>
      <c r="BA22" s="12"/>
      <c r="BB22" s="2"/>
      <c r="BC22" s="2"/>
    </row>
    <row r="23" spans="1:55" ht="11.25" customHeight="1" outlineLevel="1">
      <c r="A23" s="6" t="s">
        <v>55</v>
      </c>
      <c r="B23" s="6"/>
      <c r="C23" s="15">
        <v>0</v>
      </c>
      <c r="D23" s="15">
        <v>0</v>
      </c>
      <c r="E23" s="15">
        <v>0</v>
      </c>
      <c r="F23" s="11">
        <v>0</v>
      </c>
      <c r="G23" s="15">
        <v>0</v>
      </c>
      <c r="H23" s="15">
        <v>0</v>
      </c>
      <c r="I23" s="11">
        <v>0</v>
      </c>
      <c r="J23" s="11">
        <v>0</v>
      </c>
      <c r="K23" s="15">
        <v>0</v>
      </c>
      <c r="L23" s="15">
        <v>0</v>
      </c>
      <c r="M23" s="11">
        <v>0</v>
      </c>
      <c r="N23" s="15">
        <v>0</v>
      </c>
      <c r="O23" s="15">
        <v>0</v>
      </c>
      <c r="P23" s="15">
        <v>0</v>
      </c>
      <c r="Q23" s="11">
        <v>0</v>
      </c>
      <c r="R23" s="15">
        <v>0</v>
      </c>
      <c r="S23" s="11">
        <v>0</v>
      </c>
      <c r="T23" s="15">
        <v>0</v>
      </c>
      <c r="U23" s="15">
        <v>0</v>
      </c>
      <c r="V23" s="15">
        <v>0</v>
      </c>
      <c r="W23" s="15">
        <v>0</v>
      </c>
      <c r="X23" s="11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1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/>
      <c r="AZ23" s="12">
        <f aca="true" t="shared" si="2" ref="AZ23:AZ31">SUM(C23:AY23)</f>
        <v>0</v>
      </c>
      <c r="BA23" s="12"/>
      <c r="BB23" s="25">
        <f>SUMIF($C$163:$AX$163,"já",C23:AX23)</f>
        <v>0</v>
      </c>
      <c r="BC23" s="25">
        <f aca="true" t="shared" si="3" ref="BC23:BC31">SUMIF($C$163:$AX$163,"nei",C23:AX23)</f>
        <v>0</v>
      </c>
    </row>
    <row r="24" spans="1:55" ht="11.25" customHeight="1" outlineLevel="1">
      <c r="A24" s="6" t="s">
        <v>56</v>
      </c>
      <c r="B24" s="6"/>
      <c r="C24" s="15">
        <v>8945384</v>
      </c>
      <c r="D24" s="15">
        <v>18061018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1">
        <v>-945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/>
      <c r="AZ24" s="12">
        <f t="shared" si="2"/>
        <v>27005478</v>
      </c>
      <c r="BA24" s="12"/>
      <c r="BB24" s="25">
        <f aca="true" t="shared" si="4" ref="BB24:BB31">SUMIF($C$163:$AX$163,"já",C24:AX24)</f>
        <v>18061018</v>
      </c>
      <c r="BC24" s="25">
        <f t="shared" si="3"/>
        <v>8944460</v>
      </c>
    </row>
    <row r="25" spans="1:55" ht="11.25" customHeight="1" outlineLevel="1">
      <c r="A25" s="6" t="s">
        <v>57</v>
      </c>
      <c r="B25" s="6"/>
      <c r="C25" s="15">
        <v>0</v>
      </c>
      <c r="D25" s="15">
        <v>0</v>
      </c>
      <c r="E25" s="15">
        <v>27601566</v>
      </c>
      <c r="F25" s="15">
        <v>7617665</v>
      </c>
      <c r="G25" s="15">
        <v>0</v>
      </c>
      <c r="H25" s="15">
        <v>1950514</v>
      </c>
      <c r="I25" s="15">
        <v>306792</v>
      </c>
      <c r="J25" s="15">
        <v>0</v>
      </c>
      <c r="K25" s="15">
        <v>257349</v>
      </c>
      <c r="L25" s="15">
        <v>5270544</v>
      </c>
      <c r="M25" s="15">
        <v>43112</v>
      </c>
      <c r="N25" s="15">
        <v>1211015</v>
      </c>
      <c r="O25" s="15">
        <v>0</v>
      </c>
      <c r="P25" s="15">
        <v>2557062</v>
      </c>
      <c r="Q25" s="15">
        <v>351</v>
      </c>
      <c r="R25" s="15">
        <v>0</v>
      </c>
      <c r="S25" s="11">
        <v>642852</v>
      </c>
      <c r="T25" s="15">
        <v>2359219</v>
      </c>
      <c r="U25" s="15">
        <v>1228047</v>
      </c>
      <c r="V25" s="15">
        <v>236705</v>
      </c>
      <c r="W25" s="15">
        <v>22221</v>
      </c>
      <c r="X25" s="15">
        <v>175</v>
      </c>
      <c r="Y25" s="15">
        <v>2298287</v>
      </c>
      <c r="Z25" s="15">
        <v>848866</v>
      </c>
      <c r="AA25" s="15">
        <v>26326</v>
      </c>
      <c r="AB25" s="15">
        <v>25899</v>
      </c>
      <c r="AC25" s="15">
        <v>-18018</v>
      </c>
      <c r="AD25" s="15">
        <v>370225</v>
      </c>
      <c r="AE25" s="15">
        <v>0</v>
      </c>
      <c r="AF25" s="15">
        <v>254188</v>
      </c>
      <c r="AG25" s="15">
        <v>29543</v>
      </c>
      <c r="AH25" s="15">
        <v>0</v>
      </c>
      <c r="AI25" s="15">
        <v>16</v>
      </c>
      <c r="AJ25" s="15">
        <v>0</v>
      </c>
      <c r="AK25" s="15">
        <v>224018</v>
      </c>
      <c r="AL25" s="15">
        <v>0</v>
      </c>
      <c r="AM25" s="15">
        <v>221807</v>
      </c>
      <c r="AN25" s="15">
        <v>19</v>
      </c>
      <c r="AO25" s="15">
        <v>0</v>
      </c>
      <c r="AP25" s="15">
        <v>5918</v>
      </c>
      <c r="AQ25" s="15">
        <v>6</v>
      </c>
      <c r="AR25" s="15">
        <v>1253</v>
      </c>
      <c r="AS25" s="15">
        <v>45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/>
      <c r="AZ25" s="12">
        <f t="shared" si="2"/>
        <v>55593587</v>
      </c>
      <c r="BA25" s="12"/>
      <c r="BB25" s="25">
        <f t="shared" si="4"/>
        <v>2732012</v>
      </c>
      <c r="BC25" s="25">
        <f t="shared" si="3"/>
        <v>52861575</v>
      </c>
    </row>
    <row r="26" spans="1:55" ht="11.25" customHeight="1" outlineLevel="1">
      <c r="A26" s="6" t="s">
        <v>58</v>
      </c>
      <c r="B26" s="6"/>
      <c r="C26" s="15">
        <v>0</v>
      </c>
      <c r="D26" s="15">
        <v>0</v>
      </c>
      <c r="E26" s="15">
        <v>2100</v>
      </c>
      <c r="F26" s="15">
        <v>5546</v>
      </c>
      <c r="G26" s="15">
        <v>0</v>
      </c>
      <c r="H26" s="15">
        <v>6380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66</v>
      </c>
      <c r="O26" s="15">
        <v>0</v>
      </c>
      <c r="P26" s="15">
        <v>228</v>
      </c>
      <c r="Q26" s="15">
        <v>0</v>
      </c>
      <c r="R26" s="15">
        <v>0</v>
      </c>
      <c r="S26" s="11">
        <v>0</v>
      </c>
      <c r="T26" s="15">
        <v>0</v>
      </c>
      <c r="U26" s="15">
        <v>3946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/>
      <c r="AZ26" s="12">
        <f t="shared" si="2"/>
        <v>18266</v>
      </c>
      <c r="BA26" s="12"/>
      <c r="BB26" s="25">
        <f t="shared" si="4"/>
        <v>0</v>
      </c>
      <c r="BC26" s="25">
        <f t="shared" si="3"/>
        <v>18266</v>
      </c>
    </row>
    <row r="27" spans="1:55" ht="11.25" customHeight="1" outlineLevel="1">
      <c r="A27" s="6" t="s">
        <v>59</v>
      </c>
      <c r="B27" s="6"/>
      <c r="C27" s="15">
        <v>4738731</v>
      </c>
      <c r="D27" s="15">
        <v>11588193</v>
      </c>
      <c r="E27" s="15">
        <v>11888018</v>
      </c>
      <c r="F27" s="15">
        <v>23465956</v>
      </c>
      <c r="G27" s="15">
        <v>951050</v>
      </c>
      <c r="H27" s="15">
        <v>11140235</v>
      </c>
      <c r="I27" s="11">
        <v>3171244</v>
      </c>
      <c r="J27" s="11">
        <v>501955</v>
      </c>
      <c r="K27" s="15">
        <v>963906</v>
      </c>
      <c r="L27" s="15">
        <v>4958305</v>
      </c>
      <c r="M27" s="15">
        <v>1889142</v>
      </c>
      <c r="N27" s="15">
        <v>6876459</v>
      </c>
      <c r="O27" s="15">
        <v>3548541</v>
      </c>
      <c r="P27" s="15">
        <v>5131904</v>
      </c>
      <c r="Q27" s="15">
        <v>2862605</v>
      </c>
      <c r="R27" s="15">
        <v>1456564</v>
      </c>
      <c r="S27" s="11">
        <v>3206001</v>
      </c>
      <c r="T27" s="15">
        <v>1455545</v>
      </c>
      <c r="U27" s="15">
        <v>2533119</v>
      </c>
      <c r="V27" s="15">
        <v>2283241</v>
      </c>
      <c r="W27" s="15">
        <v>214341</v>
      </c>
      <c r="X27" s="15">
        <v>335771</v>
      </c>
      <c r="Y27" s="15">
        <v>1258767</v>
      </c>
      <c r="Z27" s="15">
        <v>2847301</v>
      </c>
      <c r="AA27" s="15">
        <v>2984730</v>
      </c>
      <c r="AB27" s="15">
        <v>1940101</v>
      </c>
      <c r="AC27" s="15">
        <v>1363145</v>
      </c>
      <c r="AD27" s="28">
        <v>1094399</v>
      </c>
      <c r="AE27" s="15">
        <v>542678</v>
      </c>
      <c r="AF27" s="15">
        <v>241051</v>
      </c>
      <c r="AG27" s="15">
        <v>435640</v>
      </c>
      <c r="AH27" s="15">
        <v>16574</v>
      </c>
      <c r="AI27" s="15">
        <v>371657</v>
      </c>
      <c r="AJ27" s="15">
        <v>40786</v>
      </c>
      <c r="AK27" s="15">
        <v>118420</v>
      </c>
      <c r="AL27" s="15">
        <v>315176</v>
      </c>
      <c r="AM27" s="15">
        <v>122655</v>
      </c>
      <c r="AN27" s="15">
        <v>237284</v>
      </c>
      <c r="AO27" s="15">
        <v>160860</v>
      </c>
      <c r="AP27" s="15">
        <v>116527</v>
      </c>
      <c r="AQ27" s="15">
        <v>89967</v>
      </c>
      <c r="AR27" s="15">
        <v>85222</v>
      </c>
      <c r="AS27" s="15">
        <v>64875</v>
      </c>
      <c r="AT27" s="15">
        <v>55556</v>
      </c>
      <c r="AU27" s="15">
        <v>44956</v>
      </c>
      <c r="AV27" s="15">
        <v>25838</v>
      </c>
      <c r="AW27" s="15">
        <v>5510</v>
      </c>
      <c r="AX27" s="11">
        <v>4372</v>
      </c>
      <c r="AY27" s="15"/>
      <c r="AZ27" s="12">
        <f t="shared" si="2"/>
        <v>119744873</v>
      </c>
      <c r="BA27" s="12"/>
      <c r="BB27" s="25">
        <f t="shared" si="4"/>
        <v>15683671</v>
      </c>
      <c r="BC27" s="25">
        <f t="shared" si="3"/>
        <v>104061202</v>
      </c>
    </row>
    <row r="28" spans="1:55" ht="11.25" customHeight="1" outlineLevel="1">
      <c r="A28" s="6" t="s">
        <v>60</v>
      </c>
      <c r="B28" s="6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1">
        <v>0</v>
      </c>
      <c r="J28" s="29">
        <v>0</v>
      </c>
      <c r="K28" s="15">
        <v>0</v>
      </c>
      <c r="L28" s="15">
        <v>0</v>
      </c>
      <c r="M28" s="15">
        <v>0</v>
      </c>
      <c r="N28" s="15">
        <v>0</v>
      </c>
      <c r="O28" s="15">
        <v>4214889</v>
      </c>
      <c r="P28" s="15">
        <v>0</v>
      </c>
      <c r="Q28" s="15">
        <v>0</v>
      </c>
      <c r="R28" s="15">
        <v>0</v>
      </c>
      <c r="S28" s="11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28">
        <v>0</v>
      </c>
      <c r="AE28" s="15">
        <v>0</v>
      </c>
      <c r="AF28" s="15">
        <v>0</v>
      </c>
      <c r="AG28" s="15">
        <v>-6818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/>
      <c r="AZ28" s="12">
        <f t="shared" si="2"/>
        <v>4208071</v>
      </c>
      <c r="BA28" s="12"/>
      <c r="BB28" s="25">
        <f t="shared" si="4"/>
        <v>0</v>
      </c>
      <c r="BC28" s="25">
        <f t="shared" si="3"/>
        <v>4208071</v>
      </c>
    </row>
    <row r="29" spans="1:55" ht="11.25" customHeight="1" outlineLevel="1">
      <c r="A29" s="6" t="s">
        <v>61</v>
      </c>
      <c r="B29" s="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1">
        <v>0</v>
      </c>
      <c r="J29" s="11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1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/>
      <c r="AZ29" s="12">
        <f t="shared" si="2"/>
        <v>0</v>
      </c>
      <c r="BA29" s="12"/>
      <c r="BB29" s="25">
        <f t="shared" si="4"/>
        <v>0</v>
      </c>
      <c r="BC29" s="25">
        <f t="shared" si="3"/>
        <v>0</v>
      </c>
    </row>
    <row r="30" spans="1:55" ht="11.25" customHeight="1" outlineLevel="1">
      <c r="A30" s="6" t="s">
        <v>62</v>
      </c>
      <c r="B30" s="6"/>
      <c r="C30" s="15">
        <v>-1805</v>
      </c>
      <c r="D30" s="15">
        <v>-6042</v>
      </c>
      <c r="E30" s="15">
        <v>-6842</v>
      </c>
      <c r="F30" s="15">
        <v>0</v>
      </c>
      <c r="G30" s="26">
        <v>0</v>
      </c>
      <c r="H30" s="15">
        <v>-16972</v>
      </c>
      <c r="I30" s="11">
        <v>0</v>
      </c>
      <c r="J30" s="11">
        <v>0</v>
      </c>
      <c r="K30" s="11">
        <v>0</v>
      </c>
      <c r="L30" s="15">
        <v>7423</v>
      </c>
      <c r="M30" s="15">
        <v>0</v>
      </c>
      <c r="N30" s="15">
        <v>-49714</v>
      </c>
      <c r="O30" s="15">
        <v>0</v>
      </c>
      <c r="P30" s="15">
        <v>6162</v>
      </c>
      <c r="Q30" s="15">
        <v>0</v>
      </c>
      <c r="R30" s="15">
        <v>0</v>
      </c>
      <c r="S30" s="11">
        <v>-30620</v>
      </c>
      <c r="T30" s="15">
        <v>0</v>
      </c>
      <c r="U30" s="11">
        <v>-34227</v>
      </c>
      <c r="V30" s="15">
        <v>0</v>
      </c>
      <c r="W30" s="15">
        <v>0</v>
      </c>
      <c r="X30" s="15">
        <v>0</v>
      </c>
      <c r="Y30" s="15">
        <v>1130</v>
      </c>
      <c r="Z30" s="15">
        <v>0</v>
      </c>
      <c r="AA30" s="15">
        <v>-49</v>
      </c>
      <c r="AB30" s="15">
        <v>0</v>
      </c>
      <c r="AC30" s="15">
        <v>0</v>
      </c>
      <c r="AD30" s="11">
        <v>0</v>
      </c>
      <c r="AE30" s="15">
        <v>0</v>
      </c>
      <c r="AF30" s="15">
        <v>-3170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1">
        <v>-108</v>
      </c>
      <c r="AM30" s="15">
        <v>11298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50</v>
      </c>
      <c r="AY30" s="15"/>
      <c r="AZ30" s="12">
        <f t="shared" si="2"/>
        <v>-123486</v>
      </c>
      <c r="BA30" s="12"/>
      <c r="BB30" s="25">
        <f t="shared" si="4"/>
        <v>6328</v>
      </c>
      <c r="BC30" s="25">
        <f t="shared" si="3"/>
        <v>-129814</v>
      </c>
    </row>
    <row r="31" spans="1:55" ht="11.25" customHeight="1" outlineLevel="1">
      <c r="A31" s="6" t="s">
        <v>63</v>
      </c>
      <c r="B31" s="6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-437370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/>
      <c r="AZ31" s="12">
        <f t="shared" si="2"/>
        <v>-437370</v>
      </c>
      <c r="BA31" s="12"/>
      <c r="BB31" s="25">
        <f t="shared" si="4"/>
        <v>0</v>
      </c>
      <c r="BC31" s="25">
        <f t="shared" si="3"/>
        <v>-437370</v>
      </c>
    </row>
    <row r="32" spans="1:55" ht="11.25" customHeight="1">
      <c r="A32" s="4" t="s">
        <v>64</v>
      </c>
      <c r="B32" s="4"/>
      <c r="C32" s="11">
        <f aca="true" t="shared" si="5" ref="C32:AX32">SUM(C23:C31)</f>
        <v>13682310</v>
      </c>
      <c r="D32" s="11">
        <f t="shared" si="5"/>
        <v>29643169</v>
      </c>
      <c r="E32" s="11">
        <f t="shared" si="5"/>
        <v>39484842</v>
      </c>
      <c r="F32" s="11">
        <f t="shared" si="5"/>
        <v>31089167</v>
      </c>
      <c r="G32" s="11">
        <f t="shared" si="5"/>
        <v>951050</v>
      </c>
      <c r="H32" s="11">
        <f t="shared" si="5"/>
        <v>13080157</v>
      </c>
      <c r="I32" s="11">
        <f t="shared" si="5"/>
        <v>3478036</v>
      </c>
      <c r="J32" s="11">
        <f t="shared" si="5"/>
        <v>501955</v>
      </c>
      <c r="K32" s="11">
        <f t="shared" si="5"/>
        <v>1221255</v>
      </c>
      <c r="L32" s="11">
        <f t="shared" si="5"/>
        <v>10236272</v>
      </c>
      <c r="M32" s="11">
        <f t="shared" si="5"/>
        <v>1932254</v>
      </c>
      <c r="N32" s="11">
        <f t="shared" si="5"/>
        <v>7600456</v>
      </c>
      <c r="O32" s="11">
        <f t="shared" si="5"/>
        <v>7763430</v>
      </c>
      <c r="P32" s="11">
        <f t="shared" si="5"/>
        <v>7695356</v>
      </c>
      <c r="Q32" s="11">
        <f t="shared" si="5"/>
        <v>2862956</v>
      </c>
      <c r="R32" s="11">
        <f t="shared" si="5"/>
        <v>1456564</v>
      </c>
      <c r="S32" s="11">
        <f t="shared" si="5"/>
        <v>3817288</v>
      </c>
      <c r="T32" s="11">
        <f t="shared" si="5"/>
        <v>3814764</v>
      </c>
      <c r="U32" s="11">
        <f t="shared" si="5"/>
        <v>3730885</v>
      </c>
      <c r="V32" s="11">
        <f t="shared" si="5"/>
        <v>2519946</v>
      </c>
      <c r="W32" s="11">
        <f t="shared" si="5"/>
        <v>236562</v>
      </c>
      <c r="X32" s="11">
        <f t="shared" si="5"/>
        <v>335946</v>
      </c>
      <c r="Y32" s="11">
        <f t="shared" si="5"/>
        <v>3558184</v>
      </c>
      <c r="Z32" s="11">
        <f t="shared" si="5"/>
        <v>3696188</v>
      </c>
      <c r="AA32" s="11">
        <f t="shared" si="5"/>
        <v>3011007</v>
      </c>
      <c r="AB32" s="11">
        <f t="shared" si="5"/>
        <v>1966000</v>
      </c>
      <c r="AC32" s="11">
        <f t="shared" si="5"/>
        <v>1345127</v>
      </c>
      <c r="AD32" s="11">
        <f t="shared" si="5"/>
        <v>1464624</v>
      </c>
      <c r="AE32" s="11">
        <f t="shared" si="5"/>
        <v>542678</v>
      </c>
      <c r="AF32" s="11">
        <f t="shared" si="5"/>
        <v>492069</v>
      </c>
      <c r="AG32" s="11">
        <f t="shared" si="5"/>
        <v>458365</v>
      </c>
      <c r="AH32" s="11">
        <f t="shared" si="5"/>
        <v>16574</v>
      </c>
      <c r="AI32" s="11">
        <f t="shared" si="5"/>
        <v>371673</v>
      </c>
      <c r="AJ32" s="11">
        <f t="shared" si="5"/>
        <v>40786</v>
      </c>
      <c r="AK32" s="11">
        <f t="shared" si="5"/>
        <v>342438</v>
      </c>
      <c r="AL32" s="11">
        <f t="shared" si="5"/>
        <v>315068</v>
      </c>
      <c r="AM32" s="11">
        <f t="shared" si="5"/>
        <v>355760</v>
      </c>
      <c r="AN32" s="11">
        <f t="shared" si="5"/>
        <v>237303</v>
      </c>
      <c r="AO32" s="11">
        <f t="shared" si="5"/>
        <v>160860</v>
      </c>
      <c r="AP32" s="11">
        <f t="shared" si="5"/>
        <v>122445</v>
      </c>
      <c r="AQ32" s="11">
        <f t="shared" si="5"/>
        <v>89973</v>
      </c>
      <c r="AR32" s="11">
        <f t="shared" si="5"/>
        <v>86475</v>
      </c>
      <c r="AS32" s="11">
        <f t="shared" si="5"/>
        <v>64920</v>
      </c>
      <c r="AT32" s="11">
        <f t="shared" si="5"/>
        <v>55556</v>
      </c>
      <c r="AU32" s="11">
        <f t="shared" si="5"/>
        <v>44956</v>
      </c>
      <c r="AV32" s="11">
        <f t="shared" si="5"/>
        <v>25838</v>
      </c>
      <c r="AW32" s="11">
        <f t="shared" si="5"/>
        <v>5510</v>
      </c>
      <c r="AX32" s="11">
        <f t="shared" si="5"/>
        <v>4422</v>
      </c>
      <c r="AY32" s="26"/>
      <c r="AZ32" s="12">
        <f>SUM(AZ23:AZ31)</f>
        <v>206009419</v>
      </c>
      <c r="BA32" s="12"/>
      <c r="BB32" s="2">
        <f>SUM(BB23:BB31)</f>
        <v>36483029</v>
      </c>
      <c r="BC32" s="2">
        <f>SUM(BC23:BC31)</f>
        <v>169526390</v>
      </c>
    </row>
    <row r="33" spans="1:55" ht="11.25" customHeight="1">
      <c r="A33" s="4"/>
      <c r="B33" s="4"/>
      <c r="C33" s="26"/>
      <c r="D33" s="26"/>
      <c r="G33" s="26"/>
      <c r="H33" s="26"/>
      <c r="K33" s="26"/>
      <c r="L33" s="26"/>
      <c r="N33" s="26"/>
      <c r="O33" s="26"/>
      <c r="P33" s="15"/>
      <c r="Q33" s="26"/>
      <c r="S33" s="26"/>
      <c r="T33" s="26"/>
      <c r="U33" s="26"/>
      <c r="V33" s="26"/>
      <c r="W33" s="26"/>
      <c r="Y33" s="26"/>
      <c r="Z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V33" s="26"/>
      <c r="AW33" s="26"/>
      <c r="AX33" s="26"/>
      <c r="AY33" s="26"/>
      <c r="AZ33" s="12"/>
      <c r="BA33" s="12"/>
      <c r="BB33" s="2"/>
      <c r="BC33" s="2"/>
    </row>
    <row r="34" spans="1:55" ht="11.25" customHeight="1" outlineLevel="1">
      <c r="A34" s="4" t="s">
        <v>65</v>
      </c>
      <c r="B34" s="4"/>
      <c r="C34" s="15"/>
      <c r="D34" s="15"/>
      <c r="E34" s="15"/>
      <c r="F34" s="15"/>
      <c r="G34" s="15"/>
      <c r="H34" s="15"/>
      <c r="I34" s="15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2"/>
      <c r="BA34" s="12"/>
      <c r="BB34" s="2"/>
      <c r="BC34" s="2"/>
    </row>
    <row r="35" spans="1:55" ht="11.25" customHeight="1" outlineLevel="1">
      <c r="A35" s="6" t="s">
        <v>66</v>
      </c>
      <c r="B35" s="6"/>
      <c r="C35" s="15">
        <v>45200</v>
      </c>
      <c r="D35" s="15">
        <v>98844</v>
      </c>
      <c r="E35" s="15">
        <v>195181</v>
      </c>
      <c r="F35" s="15">
        <v>117822</v>
      </c>
      <c r="G35" s="15">
        <v>7803</v>
      </c>
      <c r="H35" s="15">
        <v>88902</v>
      </c>
      <c r="I35" s="11">
        <v>18027</v>
      </c>
      <c r="J35" s="11">
        <v>2814</v>
      </c>
      <c r="K35" s="15">
        <v>5702</v>
      </c>
      <c r="L35" s="15">
        <v>88754</v>
      </c>
      <c r="M35" s="15">
        <v>13995</v>
      </c>
      <c r="N35" s="15">
        <v>29098</v>
      </c>
      <c r="O35" s="15">
        <v>41224</v>
      </c>
      <c r="P35" s="15">
        <v>57632</v>
      </c>
      <c r="Q35" s="15">
        <v>7099</v>
      </c>
      <c r="R35" s="15">
        <v>2736</v>
      </c>
      <c r="S35" s="15">
        <v>34641</v>
      </c>
      <c r="T35" s="15">
        <v>33498</v>
      </c>
      <c r="U35" s="15">
        <v>11956</v>
      </c>
      <c r="V35" s="15">
        <v>9692</v>
      </c>
      <c r="W35" s="15">
        <v>910</v>
      </c>
      <c r="X35" s="15">
        <v>3001</v>
      </c>
      <c r="Y35" s="15">
        <v>13260</v>
      </c>
      <c r="Z35" s="15">
        <v>15603</v>
      </c>
      <c r="AA35" s="15">
        <v>11505</v>
      </c>
      <c r="AB35" s="15">
        <v>5721</v>
      </c>
      <c r="AC35" s="15">
        <v>10492</v>
      </c>
      <c r="AD35" s="15">
        <v>2215</v>
      </c>
      <c r="AE35" s="15">
        <v>6498</v>
      </c>
      <c r="AF35" s="15">
        <v>6948</v>
      </c>
      <c r="AG35" s="15">
        <v>3042</v>
      </c>
      <c r="AH35" s="15">
        <v>173</v>
      </c>
      <c r="AI35" s="15">
        <v>1825</v>
      </c>
      <c r="AJ35" s="15">
        <v>0</v>
      </c>
      <c r="AK35" s="15">
        <v>3049</v>
      </c>
      <c r="AL35" s="15">
        <v>2320</v>
      </c>
      <c r="AM35" s="15">
        <v>3525</v>
      </c>
      <c r="AN35" s="15">
        <v>798</v>
      </c>
      <c r="AO35" s="15">
        <v>1500</v>
      </c>
      <c r="AP35" s="15">
        <v>987</v>
      </c>
      <c r="AQ35" s="15">
        <v>436</v>
      </c>
      <c r="AR35" s="15">
        <v>101</v>
      </c>
      <c r="AS35" s="15">
        <v>1756</v>
      </c>
      <c r="AT35" s="15">
        <v>486</v>
      </c>
      <c r="AU35" s="15">
        <v>76</v>
      </c>
      <c r="AV35" s="15">
        <v>1641</v>
      </c>
      <c r="AW35" s="15">
        <v>0</v>
      </c>
      <c r="AX35" s="15">
        <v>0</v>
      </c>
      <c r="AY35" s="15"/>
      <c r="AZ35" s="12">
        <f>SUM(C35:AY35)</f>
        <v>1008488</v>
      </c>
      <c r="BA35" s="12"/>
      <c r="BB35" s="25">
        <f>SUMIF($C$163:$AX$163,"já",C35:AX35)</f>
        <v>142365</v>
      </c>
      <c r="BC35" s="25">
        <f>SUMIF($C$163:$AX$163,"nei",C35:AX35)</f>
        <v>866123</v>
      </c>
    </row>
    <row r="36" spans="1:55" ht="11.25" customHeight="1" outlineLevel="1">
      <c r="A36" s="6" t="s">
        <v>67</v>
      </c>
      <c r="B36" s="6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1">
        <v>551</v>
      </c>
      <c r="J36" s="11">
        <v>2619</v>
      </c>
      <c r="K36" s="15">
        <v>493</v>
      </c>
      <c r="L36" s="15">
        <v>0</v>
      </c>
      <c r="M36" s="15">
        <v>0</v>
      </c>
      <c r="N36" s="15">
        <v>0</v>
      </c>
      <c r="O36" s="11">
        <v>2664</v>
      </c>
      <c r="P36" s="15">
        <v>17</v>
      </c>
      <c r="Q36" s="15">
        <v>0</v>
      </c>
      <c r="R36" s="15">
        <v>0</v>
      </c>
      <c r="S36" s="15">
        <v>382</v>
      </c>
      <c r="T36" s="15">
        <v>0</v>
      </c>
      <c r="U36" s="15">
        <v>786</v>
      </c>
      <c r="V36" s="15">
        <v>0</v>
      </c>
      <c r="W36" s="15">
        <v>0</v>
      </c>
      <c r="X36" s="15">
        <v>860</v>
      </c>
      <c r="Y36" s="15">
        <v>0</v>
      </c>
      <c r="Z36" s="15">
        <v>0</v>
      </c>
      <c r="AA36" s="15">
        <v>499</v>
      </c>
      <c r="AB36" s="15">
        <v>52</v>
      </c>
      <c r="AC36" s="15">
        <v>0</v>
      </c>
      <c r="AD36" s="15">
        <v>0</v>
      </c>
      <c r="AE36" s="15">
        <v>14</v>
      </c>
      <c r="AF36" s="15">
        <v>0</v>
      </c>
      <c r="AG36" s="15">
        <v>0</v>
      </c>
      <c r="AH36" s="15">
        <v>0</v>
      </c>
      <c r="AI36" s="15">
        <v>50</v>
      </c>
      <c r="AJ36" s="15">
        <v>71</v>
      </c>
      <c r="AK36" s="15">
        <v>0</v>
      </c>
      <c r="AL36" s="15">
        <v>0</v>
      </c>
      <c r="AM36" s="15">
        <v>0</v>
      </c>
      <c r="AN36" s="15">
        <v>108</v>
      </c>
      <c r="AO36" s="15">
        <v>16</v>
      </c>
      <c r="AP36" s="15">
        <v>0</v>
      </c>
      <c r="AQ36" s="15">
        <v>115</v>
      </c>
      <c r="AR36" s="15">
        <v>0</v>
      </c>
      <c r="AS36" s="15">
        <v>94</v>
      </c>
      <c r="AT36" s="15">
        <v>0</v>
      </c>
      <c r="AU36" s="15">
        <v>0</v>
      </c>
      <c r="AV36" s="15">
        <v>0</v>
      </c>
      <c r="AW36" s="15">
        <v>1457</v>
      </c>
      <c r="AX36" s="15">
        <v>0</v>
      </c>
      <c r="AY36" s="15"/>
      <c r="AZ36" s="12">
        <f>SUM(C36:AY36)</f>
        <v>10848</v>
      </c>
      <c r="BA36" s="12"/>
      <c r="BB36" s="25">
        <f>SUMIF($C$163:$AX$163,"já",C36:AX36)</f>
        <v>1487</v>
      </c>
      <c r="BC36" s="25">
        <f>SUMIF($C$163:$AX$163,"nei",C36:AX36)</f>
        <v>9361</v>
      </c>
    </row>
    <row r="37" spans="1:55" ht="11.25" customHeight="1" outlineLevel="1">
      <c r="A37" s="6" t="s">
        <v>68</v>
      </c>
      <c r="B37" s="6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1">
        <v>0</v>
      </c>
      <c r="J37" s="11">
        <v>0</v>
      </c>
      <c r="K37" s="15">
        <v>0</v>
      </c>
      <c r="L37" s="15">
        <v>0</v>
      </c>
      <c r="M37" s="15">
        <v>0</v>
      </c>
      <c r="N37" s="15">
        <v>0</v>
      </c>
      <c r="O37" s="11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/>
      <c r="AZ37" s="12">
        <f>SUM(C37:AY37)</f>
        <v>0</v>
      </c>
      <c r="BA37" s="12"/>
      <c r="BB37" s="25">
        <f>SUMIF($C$163:$AX$163,"já",C37:AX37)</f>
        <v>0</v>
      </c>
      <c r="BC37" s="25">
        <f>SUMIF($C$163:$AX$163,"nei",C37:AX37)</f>
        <v>0</v>
      </c>
    </row>
    <row r="38" spans="1:55" ht="11.25" customHeight="1" outlineLevel="1">
      <c r="A38" s="6" t="s">
        <v>69</v>
      </c>
      <c r="B38" s="6"/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1">
        <v>0</v>
      </c>
      <c r="J38" s="11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165</v>
      </c>
      <c r="AX38" s="15">
        <v>0</v>
      </c>
      <c r="AY38" s="15"/>
      <c r="AZ38" s="12">
        <f>SUM(C38:AY38)</f>
        <v>165</v>
      </c>
      <c r="BA38" s="12"/>
      <c r="BB38" s="25">
        <f>SUMIF($C$163:$AX$163,"já",C38:AX38)</f>
        <v>165</v>
      </c>
      <c r="BC38" s="25">
        <f>SUMIF($C$163:$AX$163,"nei",C38:AX38)</f>
        <v>0</v>
      </c>
    </row>
    <row r="39" spans="1:55" ht="11.25" customHeight="1" outlineLevel="1">
      <c r="A39" s="6" t="s">
        <v>70</v>
      </c>
      <c r="B39" s="6"/>
      <c r="C39" s="11">
        <v>108647</v>
      </c>
      <c r="D39" s="11">
        <v>224824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16551</v>
      </c>
      <c r="N39" s="11">
        <v>0</v>
      </c>
      <c r="O39" s="11">
        <v>0</v>
      </c>
      <c r="P39" s="11">
        <v>13573</v>
      </c>
      <c r="Q39" s="11">
        <v>4701</v>
      </c>
      <c r="R39" s="11">
        <v>17961</v>
      </c>
      <c r="S39" s="11">
        <v>19143</v>
      </c>
      <c r="T39" s="11">
        <v>51761</v>
      </c>
      <c r="U39" s="11">
        <v>0</v>
      </c>
      <c r="V39" s="11">
        <v>16505</v>
      </c>
      <c r="W39" s="11">
        <v>1549</v>
      </c>
      <c r="X39" s="11">
        <v>0</v>
      </c>
      <c r="Y39" s="11">
        <v>25913</v>
      </c>
      <c r="Z39" s="11">
        <v>7112</v>
      </c>
      <c r="AA39" s="11">
        <v>33959</v>
      </c>
      <c r="AB39" s="11">
        <v>796</v>
      </c>
      <c r="AC39" s="11">
        <v>0</v>
      </c>
      <c r="AD39" s="11">
        <v>1500</v>
      </c>
      <c r="AE39" s="11">
        <v>0</v>
      </c>
      <c r="AF39" s="11">
        <v>1957</v>
      </c>
      <c r="AG39" s="11">
        <v>1000</v>
      </c>
      <c r="AH39" s="11">
        <v>0</v>
      </c>
      <c r="AI39" s="11">
        <v>374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2161</v>
      </c>
      <c r="AP39" s="11">
        <v>356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Z39" s="12">
        <f>SUM(C39:AY39)</f>
        <v>550343</v>
      </c>
      <c r="BB39" s="25">
        <f>SUMIF($C$163:$AX$163,"já",C39:AX39)</f>
        <v>253254</v>
      </c>
      <c r="BC39" s="25">
        <f>SUMIF($C$163:$AX$163,"nei",C39:AX39)</f>
        <v>297089</v>
      </c>
    </row>
    <row r="40" spans="1:55" ht="11.25" customHeight="1">
      <c r="A40" s="4" t="s">
        <v>71</v>
      </c>
      <c r="B40" s="4"/>
      <c r="C40" s="15">
        <f aca="true" t="shared" si="6" ref="C40:AX40">SUM(C35:C39)</f>
        <v>153847</v>
      </c>
      <c r="D40" s="15">
        <f t="shared" si="6"/>
        <v>323668</v>
      </c>
      <c r="E40" s="15">
        <f t="shared" si="6"/>
        <v>195181</v>
      </c>
      <c r="F40" s="15">
        <f t="shared" si="6"/>
        <v>117822</v>
      </c>
      <c r="G40" s="15">
        <f t="shared" si="6"/>
        <v>7803</v>
      </c>
      <c r="H40" s="15">
        <f t="shared" si="6"/>
        <v>88902</v>
      </c>
      <c r="I40" s="15">
        <f t="shared" si="6"/>
        <v>18578</v>
      </c>
      <c r="J40" s="15">
        <f t="shared" si="6"/>
        <v>5433</v>
      </c>
      <c r="K40" s="15">
        <f t="shared" si="6"/>
        <v>6195</v>
      </c>
      <c r="L40" s="15">
        <f t="shared" si="6"/>
        <v>88754</v>
      </c>
      <c r="M40" s="15">
        <f t="shared" si="6"/>
        <v>30546</v>
      </c>
      <c r="N40" s="15">
        <f t="shared" si="6"/>
        <v>29098</v>
      </c>
      <c r="O40" s="15">
        <f t="shared" si="6"/>
        <v>43888</v>
      </c>
      <c r="P40" s="15">
        <f t="shared" si="6"/>
        <v>71222</v>
      </c>
      <c r="Q40" s="15">
        <f t="shared" si="6"/>
        <v>11800</v>
      </c>
      <c r="R40" s="15">
        <f t="shared" si="6"/>
        <v>20697</v>
      </c>
      <c r="S40" s="15">
        <f t="shared" si="6"/>
        <v>54166</v>
      </c>
      <c r="T40" s="15">
        <f t="shared" si="6"/>
        <v>85259</v>
      </c>
      <c r="U40" s="15">
        <f t="shared" si="6"/>
        <v>12742</v>
      </c>
      <c r="V40" s="15">
        <f t="shared" si="6"/>
        <v>26197</v>
      </c>
      <c r="W40" s="15">
        <f t="shared" si="6"/>
        <v>2459</v>
      </c>
      <c r="X40" s="15">
        <f t="shared" si="6"/>
        <v>3861</v>
      </c>
      <c r="Y40" s="15">
        <f t="shared" si="6"/>
        <v>39173</v>
      </c>
      <c r="Z40" s="15">
        <f t="shared" si="6"/>
        <v>22715</v>
      </c>
      <c r="AA40" s="15">
        <f t="shared" si="6"/>
        <v>45963</v>
      </c>
      <c r="AB40" s="15">
        <f t="shared" si="6"/>
        <v>6569</v>
      </c>
      <c r="AC40" s="15">
        <f t="shared" si="6"/>
        <v>10492</v>
      </c>
      <c r="AD40" s="15">
        <f t="shared" si="6"/>
        <v>3715</v>
      </c>
      <c r="AE40" s="15">
        <f t="shared" si="6"/>
        <v>6512</v>
      </c>
      <c r="AF40" s="15">
        <f t="shared" si="6"/>
        <v>8905</v>
      </c>
      <c r="AG40" s="15">
        <f t="shared" si="6"/>
        <v>4042</v>
      </c>
      <c r="AH40" s="15">
        <f t="shared" si="6"/>
        <v>173</v>
      </c>
      <c r="AI40" s="15">
        <f t="shared" si="6"/>
        <v>2249</v>
      </c>
      <c r="AJ40" s="15">
        <f t="shared" si="6"/>
        <v>71</v>
      </c>
      <c r="AK40" s="15">
        <f t="shared" si="6"/>
        <v>3049</v>
      </c>
      <c r="AL40" s="15">
        <f t="shared" si="6"/>
        <v>2320</v>
      </c>
      <c r="AM40" s="15">
        <f t="shared" si="6"/>
        <v>3525</v>
      </c>
      <c r="AN40" s="15">
        <f t="shared" si="6"/>
        <v>906</v>
      </c>
      <c r="AO40" s="15">
        <f t="shared" si="6"/>
        <v>3677</v>
      </c>
      <c r="AP40" s="15">
        <f t="shared" si="6"/>
        <v>1343</v>
      </c>
      <c r="AQ40" s="15">
        <f t="shared" si="6"/>
        <v>551</v>
      </c>
      <c r="AR40" s="15">
        <f t="shared" si="6"/>
        <v>101</v>
      </c>
      <c r="AS40" s="15">
        <f t="shared" si="6"/>
        <v>1850</v>
      </c>
      <c r="AT40" s="15">
        <f t="shared" si="6"/>
        <v>486</v>
      </c>
      <c r="AU40" s="15">
        <f t="shared" si="6"/>
        <v>76</v>
      </c>
      <c r="AV40" s="15">
        <f t="shared" si="6"/>
        <v>1641</v>
      </c>
      <c r="AW40" s="15">
        <f t="shared" si="6"/>
        <v>1622</v>
      </c>
      <c r="AX40" s="15">
        <f t="shared" si="6"/>
        <v>0</v>
      </c>
      <c r="AY40" s="26"/>
      <c r="AZ40" s="12">
        <f>SUM(AZ35:AZ39)</f>
        <v>1569844</v>
      </c>
      <c r="BA40" s="12"/>
      <c r="BB40" s="2">
        <f>SUM(BB35:BB39)</f>
        <v>397271</v>
      </c>
      <c r="BC40" s="2">
        <f>SUM(BC35:BC39)</f>
        <v>1172573</v>
      </c>
    </row>
    <row r="41" spans="1:55" ht="11.25" customHeight="1">
      <c r="A41" s="4"/>
      <c r="B41" s="4"/>
      <c r="C41" s="26"/>
      <c r="D41" s="26"/>
      <c r="G41" s="26"/>
      <c r="H41" s="26"/>
      <c r="K41" s="26"/>
      <c r="L41" s="26"/>
      <c r="N41" s="26"/>
      <c r="O41" s="26"/>
      <c r="P41" s="15"/>
      <c r="Q41" s="26"/>
      <c r="S41" s="26"/>
      <c r="T41" s="26"/>
      <c r="U41" s="26"/>
      <c r="V41" s="26"/>
      <c r="W41" s="26"/>
      <c r="Y41" s="26"/>
      <c r="Z41" s="26"/>
      <c r="AB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V41" s="26"/>
      <c r="AW41" s="26"/>
      <c r="AX41" s="26"/>
      <c r="AY41" s="26"/>
      <c r="AZ41" s="12"/>
      <c r="BA41" s="12"/>
      <c r="BB41" s="2"/>
      <c r="BC41" s="2"/>
    </row>
    <row r="42" spans="1:55" ht="11.25" customHeight="1" outlineLevel="1">
      <c r="A42" s="4" t="s">
        <v>72</v>
      </c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2"/>
      <c r="BA42" s="12"/>
      <c r="BB42" s="2"/>
      <c r="BC42" s="2"/>
    </row>
    <row r="43" spans="1:55" ht="11.25" customHeight="1" outlineLevel="1">
      <c r="A43" s="6" t="s">
        <v>66</v>
      </c>
      <c r="B43" s="6"/>
      <c r="C43" s="15">
        <v>48646</v>
      </c>
      <c r="D43" s="15">
        <v>173279</v>
      </c>
      <c r="E43" s="15">
        <v>185734</v>
      </c>
      <c r="F43" s="15">
        <v>218811</v>
      </c>
      <c r="G43" s="15">
        <v>7695</v>
      </c>
      <c r="H43" s="15">
        <v>89318</v>
      </c>
      <c r="I43" s="11">
        <v>23619</v>
      </c>
      <c r="J43" s="15">
        <v>4515</v>
      </c>
      <c r="K43" s="15">
        <v>8832</v>
      </c>
      <c r="L43" s="15">
        <v>100554</v>
      </c>
      <c r="M43" s="15">
        <v>21312</v>
      </c>
      <c r="N43" s="15">
        <v>28401</v>
      </c>
      <c r="O43" s="15">
        <v>59269</v>
      </c>
      <c r="P43" s="15">
        <v>81120</v>
      </c>
      <c r="Q43" s="15">
        <v>34404</v>
      </c>
      <c r="R43" s="15">
        <v>13260</v>
      </c>
      <c r="S43" s="15">
        <v>28394</v>
      </c>
      <c r="T43" s="15">
        <v>44878</v>
      </c>
      <c r="U43" s="15">
        <v>49958</v>
      </c>
      <c r="V43" s="15">
        <v>43880</v>
      </c>
      <c r="W43" s="15">
        <v>4119</v>
      </c>
      <c r="X43" s="15">
        <v>7220</v>
      </c>
      <c r="Y43" s="15">
        <v>20083</v>
      </c>
      <c r="Z43" s="15">
        <v>26933</v>
      </c>
      <c r="AA43" s="15">
        <v>28552</v>
      </c>
      <c r="AB43" s="15">
        <v>10718</v>
      </c>
      <c r="AC43" s="15">
        <v>46786</v>
      </c>
      <c r="AD43" s="15">
        <v>0</v>
      </c>
      <c r="AE43" s="15">
        <v>2121</v>
      </c>
      <c r="AF43" s="15">
        <v>5685</v>
      </c>
      <c r="AG43" s="15">
        <v>5944</v>
      </c>
      <c r="AH43" s="15">
        <v>556</v>
      </c>
      <c r="AI43" s="15">
        <v>913</v>
      </c>
      <c r="AJ43" s="15">
        <v>716</v>
      </c>
      <c r="AK43" s="15">
        <v>3067</v>
      </c>
      <c r="AL43" s="15">
        <v>6882</v>
      </c>
      <c r="AM43" s="15">
        <v>8748</v>
      </c>
      <c r="AN43" s="15">
        <v>636</v>
      </c>
      <c r="AO43" s="15">
        <v>1443</v>
      </c>
      <c r="AP43" s="15">
        <v>2962</v>
      </c>
      <c r="AQ43" s="15">
        <v>994</v>
      </c>
      <c r="AR43" s="15">
        <v>589</v>
      </c>
      <c r="AS43" s="15">
        <v>1751</v>
      </c>
      <c r="AT43" s="15">
        <v>810</v>
      </c>
      <c r="AU43" s="15">
        <v>2748</v>
      </c>
      <c r="AV43" s="15">
        <v>1641</v>
      </c>
      <c r="AW43" s="15">
        <v>255</v>
      </c>
      <c r="AX43" s="15">
        <v>908</v>
      </c>
      <c r="AY43" s="15"/>
      <c r="AZ43" s="12">
        <f>SUM(C43:AY43)</f>
        <v>1459659</v>
      </c>
      <c r="BA43" s="12"/>
      <c r="BB43" s="25">
        <f>SUMIF($C$163:$AX$163,"já",C43:AX43)</f>
        <v>271479</v>
      </c>
      <c r="BC43" s="25">
        <f>SUMIF($C$163:$AX$163,"nei",C43:AX43)</f>
        <v>1188180</v>
      </c>
    </row>
    <row r="44" spans="1:55" ht="11.25" customHeight="1" outlineLevel="1">
      <c r="A44" s="6" t="s">
        <v>73</v>
      </c>
      <c r="B44" s="6"/>
      <c r="C44" s="11">
        <v>4007</v>
      </c>
      <c r="D44" s="11">
        <v>4007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32950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890</v>
      </c>
      <c r="Z44" s="11">
        <v>0</v>
      </c>
      <c r="AA44" s="11">
        <v>5964</v>
      </c>
      <c r="AB44" s="11">
        <v>0</v>
      </c>
      <c r="AC44" s="11">
        <v>0</v>
      </c>
      <c r="AD44" s="11">
        <v>0</v>
      </c>
      <c r="AE44" s="11">
        <v>3665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2500</v>
      </c>
      <c r="AL44" s="11">
        <v>0</v>
      </c>
      <c r="AM44" s="11">
        <v>509</v>
      </c>
      <c r="AN44" s="11">
        <v>1738</v>
      </c>
      <c r="AO44" s="11">
        <v>0</v>
      </c>
      <c r="AP44" s="11">
        <v>0</v>
      </c>
      <c r="AQ44" s="11">
        <v>0</v>
      </c>
      <c r="AR44" s="11">
        <v>1504</v>
      </c>
      <c r="AS44" s="11">
        <v>0</v>
      </c>
      <c r="AT44" s="11">
        <v>0</v>
      </c>
      <c r="AU44" s="11">
        <v>0</v>
      </c>
      <c r="AV44" s="11">
        <v>0</v>
      </c>
      <c r="AW44" s="11">
        <v>465</v>
      </c>
      <c r="AX44" s="11">
        <v>2588</v>
      </c>
      <c r="AZ44" s="12">
        <f>SUM(C44:AY44)</f>
        <v>60787</v>
      </c>
      <c r="BA44" s="12"/>
      <c r="BB44" s="25">
        <f>SUMIF($C$163:$AX$163,"já",C44:AX44)</f>
        <v>14624</v>
      </c>
      <c r="BC44" s="25">
        <f>SUMIF($C$163:$AX$163,"nei",C44:AX44)</f>
        <v>46163</v>
      </c>
    </row>
    <row r="45" spans="1:55" ht="11.25" customHeight="1">
      <c r="A45" s="4" t="s">
        <v>72</v>
      </c>
      <c r="B45" s="4"/>
      <c r="C45" s="11">
        <f aca="true" t="shared" si="7" ref="C45:AX45">SUM(C43:C44)</f>
        <v>52653</v>
      </c>
      <c r="D45" s="11">
        <f t="shared" si="7"/>
        <v>177286</v>
      </c>
      <c r="E45" s="11">
        <f t="shared" si="7"/>
        <v>185734</v>
      </c>
      <c r="F45" s="11">
        <f t="shared" si="7"/>
        <v>218811</v>
      </c>
      <c r="G45" s="11">
        <f t="shared" si="7"/>
        <v>7695</v>
      </c>
      <c r="H45" s="11">
        <f t="shared" si="7"/>
        <v>89318</v>
      </c>
      <c r="I45" s="11">
        <f t="shared" si="7"/>
        <v>23619</v>
      </c>
      <c r="J45" s="11">
        <f t="shared" si="7"/>
        <v>4515</v>
      </c>
      <c r="K45" s="11">
        <f t="shared" si="7"/>
        <v>8832</v>
      </c>
      <c r="L45" s="11">
        <f t="shared" si="7"/>
        <v>100554</v>
      </c>
      <c r="M45" s="11">
        <f t="shared" si="7"/>
        <v>21312</v>
      </c>
      <c r="N45" s="11">
        <f t="shared" si="7"/>
        <v>61351</v>
      </c>
      <c r="O45" s="11">
        <f t="shared" si="7"/>
        <v>59269</v>
      </c>
      <c r="P45" s="11">
        <f t="shared" si="7"/>
        <v>81120</v>
      </c>
      <c r="Q45" s="11">
        <f t="shared" si="7"/>
        <v>34404</v>
      </c>
      <c r="R45" s="11">
        <f t="shared" si="7"/>
        <v>13260</v>
      </c>
      <c r="S45" s="11">
        <f t="shared" si="7"/>
        <v>28394</v>
      </c>
      <c r="T45" s="11">
        <f t="shared" si="7"/>
        <v>44878</v>
      </c>
      <c r="U45" s="11">
        <f t="shared" si="7"/>
        <v>49958</v>
      </c>
      <c r="V45" s="11">
        <f t="shared" si="7"/>
        <v>43880</v>
      </c>
      <c r="W45" s="11">
        <f t="shared" si="7"/>
        <v>4119</v>
      </c>
      <c r="X45" s="11">
        <f t="shared" si="7"/>
        <v>7220</v>
      </c>
      <c r="Y45" s="11">
        <f t="shared" si="7"/>
        <v>20973</v>
      </c>
      <c r="Z45" s="11">
        <f t="shared" si="7"/>
        <v>26933</v>
      </c>
      <c r="AA45" s="11">
        <f t="shared" si="7"/>
        <v>34516</v>
      </c>
      <c r="AB45" s="11">
        <f t="shared" si="7"/>
        <v>10718</v>
      </c>
      <c r="AC45" s="11">
        <f t="shared" si="7"/>
        <v>46786</v>
      </c>
      <c r="AD45" s="11">
        <f t="shared" si="7"/>
        <v>0</v>
      </c>
      <c r="AE45" s="11">
        <f t="shared" si="7"/>
        <v>5786</v>
      </c>
      <c r="AF45" s="11">
        <f t="shared" si="7"/>
        <v>5685</v>
      </c>
      <c r="AG45" s="11">
        <f t="shared" si="7"/>
        <v>5944</v>
      </c>
      <c r="AH45" s="11">
        <f t="shared" si="7"/>
        <v>556</v>
      </c>
      <c r="AI45" s="11">
        <f t="shared" si="7"/>
        <v>913</v>
      </c>
      <c r="AJ45" s="11">
        <f t="shared" si="7"/>
        <v>716</v>
      </c>
      <c r="AK45" s="11">
        <f t="shared" si="7"/>
        <v>5567</v>
      </c>
      <c r="AL45" s="11">
        <f t="shared" si="7"/>
        <v>6882</v>
      </c>
      <c r="AM45" s="11">
        <f t="shared" si="7"/>
        <v>9257</v>
      </c>
      <c r="AN45" s="11">
        <f t="shared" si="7"/>
        <v>2374</v>
      </c>
      <c r="AO45" s="11">
        <f t="shared" si="7"/>
        <v>1443</v>
      </c>
      <c r="AP45" s="11">
        <f t="shared" si="7"/>
        <v>2962</v>
      </c>
      <c r="AQ45" s="11">
        <f t="shared" si="7"/>
        <v>994</v>
      </c>
      <c r="AR45" s="11">
        <f t="shared" si="7"/>
        <v>2093</v>
      </c>
      <c r="AS45" s="11">
        <f t="shared" si="7"/>
        <v>1751</v>
      </c>
      <c r="AT45" s="11">
        <f t="shared" si="7"/>
        <v>810</v>
      </c>
      <c r="AU45" s="11">
        <f t="shared" si="7"/>
        <v>2748</v>
      </c>
      <c r="AV45" s="11">
        <f t="shared" si="7"/>
        <v>1641</v>
      </c>
      <c r="AW45" s="11">
        <f t="shared" si="7"/>
        <v>720</v>
      </c>
      <c r="AX45" s="11">
        <f t="shared" si="7"/>
        <v>3496</v>
      </c>
      <c r="AY45" s="26"/>
      <c r="AZ45" s="12">
        <f>SUM(AZ43:AZ44)</f>
        <v>1520446</v>
      </c>
      <c r="BA45" s="12"/>
      <c r="BB45" s="2">
        <f>SUM(BB43:BB44)</f>
        <v>286103</v>
      </c>
      <c r="BC45" s="2">
        <f>SUM(BC43:BC44)</f>
        <v>1234343</v>
      </c>
    </row>
    <row r="46" spans="1:55" ht="11.25" customHeight="1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5"/>
      <c r="AH46" s="12"/>
      <c r="AI46" s="12"/>
      <c r="AJ46" s="12"/>
      <c r="AK46" s="12"/>
      <c r="AL46" s="12"/>
      <c r="AM46" s="12"/>
      <c r="AN46" s="12"/>
      <c r="AO46" s="12"/>
      <c r="AP46" s="12"/>
      <c r="AQ46" s="15"/>
      <c r="AR46" s="12"/>
      <c r="AS46" s="12"/>
      <c r="AT46" s="12"/>
      <c r="AU46" s="12"/>
      <c r="AV46" s="30"/>
      <c r="AW46" s="12"/>
      <c r="AX46" s="12"/>
      <c r="AY46" s="12"/>
      <c r="AZ46" s="12"/>
      <c r="BA46" s="12"/>
      <c r="BB46" s="2"/>
      <c r="BC46" s="2"/>
    </row>
    <row r="47" spans="1:55" ht="11.25" customHeight="1">
      <c r="A47" s="4" t="s">
        <v>74</v>
      </c>
      <c r="B47" s="4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Z47" s="12">
        <f>SUM(C47:AY47)</f>
        <v>0</v>
      </c>
      <c r="BB47" s="25">
        <f>SUMIF($C$163:$AX$163,"já",C47:AX47)</f>
        <v>0</v>
      </c>
      <c r="BC47" s="25">
        <f>SUMIF($C$163:$AX$163,"nei",C47:AX47)</f>
        <v>0</v>
      </c>
    </row>
    <row r="48" spans="1:55" ht="8.25" customHeight="1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2"/>
      <c r="BC48" s="2"/>
    </row>
    <row r="49" spans="1:55" ht="11.25" customHeight="1">
      <c r="A49" s="4" t="s">
        <v>75</v>
      </c>
      <c r="B49" s="4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Z49" s="12">
        <f>SUM(C49:AY49)</f>
        <v>0</v>
      </c>
      <c r="BB49" s="25">
        <f>SUMIF($C$163:$AX$163,"já",C49:AX49)</f>
        <v>0</v>
      </c>
      <c r="BC49" s="25">
        <f>SUMIF($C$163:$AX$163,"nei",C49:AX49)</f>
        <v>0</v>
      </c>
    </row>
    <row r="50" spans="1:55" ht="11.25" customHeight="1">
      <c r="A50" s="6"/>
      <c r="B50" s="6"/>
      <c r="C50" s="26"/>
      <c r="D50" s="26"/>
      <c r="G50" s="26"/>
      <c r="H50" s="26"/>
      <c r="K50" s="26"/>
      <c r="L50" s="26"/>
      <c r="N50" s="26"/>
      <c r="O50" s="26"/>
      <c r="P50" s="15"/>
      <c r="Q50" s="26"/>
      <c r="S50" s="26"/>
      <c r="T50" s="26"/>
      <c r="U50" s="26"/>
      <c r="V50" s="26"/>
      <c r="W50" s="26"/>
      <c r="Y50" s="26"/>
      <c r="Z50" s="26"/>
      <c r="AB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V50" s="26"/>
      <c r="AW50" s="26"/>
      <c r="AX50" s="26"/>
      <c r="AY50" s="26"/>
      <c r="AZ50" s="12"/>
      <c r="BA50" s="12"/>
      <c r="BB50" s="2"/>
      <c r="BC50" s="2"/>
    </row>
    <row r="51" spans="1:55" ht="11.25" customHeight="1">
      <c r="A51" s="4" t="s">
        <v>76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2"/>
      <c r="BC51" s="2"/>
    </row>
    <row r="52" spans="1:55" ht="11.25" customHeight="1">
      <c r="A52" s="4" t="s">
        <v>77</v>
      </c>
      <c r="B52" s="4"/>
      <c r="C52" s="11">
        <f aca="true" t="shared" si="8" ref="C52:AX52">+C13-C20+C32-C40-C45+C47-C49</f>
        <v>23710166</v>
      </c>
      <c r="D52" s="11">
        <f t="shared" si="8"/>
        <v>29662494</v>
      </c>
      <c r="E52" s="11">
        <f t="shared" si="8"/>
        <v>47856418</v>
      </c>
      <c r="F52" s="11">
        <f t="shared" si="8"/>
        <v>33687245</v>
      </c>
      <c r="G52" s="11">
        <f t="shared" si="8"/>
        <v>3054818</v>
      </c>
      <c r="H52" s="11">
        <f t="shared" si="8"/>
        <v>12748746</v>
      </c>
      <c r="I52" s="11">
        <f t="shared" si="8"/>
        <v>4464521</v>
      </c>
      <c r="J52" s="11">
        <f t="shared" si="8"/>
        <v>456899</v>
      </c>
      <c r="K52" s="11">
        <f t="shared" si="8"/>
        <v>2024964</v>
      </c>
      <c r="L52" s="11">
        <f t="shared" si="8"/>
        <v>11705042</v>
      </c>
      <c r="M52" s="11">
        <f t="shared" si="8"/>
        <v>1469580</v>
      </c>
      <c r="N52" s="11">
        <f t="shared" si="8"/>
        <v>8450871</v>
      </c>
      <c r="O52" s="11">
        <f t="shared" si="8"/>
        <v>9230789</v>
      </c>
      <c r="P52" s="11">
        <f t="shared" si="8"/>
        <v>9177062</v>
      </c>
      <c r="Q52" s="11">
        <f t="shared" si="8"/>
        <v>3692167</v>
      </c>
      <c r="R52" s="11">
        <f t="shared" si="8"/>
        <v>2454433</v>
      </c>
      <c r="S52" s="11">
        <f t="shared" si="8"/>
        <v>5451781</v>
      </c>
      <c r="T52" s="11">
        <f t="shared" si="8"/>
        <v>5114406</v>
      </c>
      <c r="U52" s="11">
        <f t="shared" si="8"/>
        <v>3846533</v>
      </c>
      <c r="V52" s="11">
        <f t="shared" si="8"/>
        <v>5316596</v>
      </c>
      <c r="W52" s="11">
        <f t="shared" si="8"/>
        <v>674648</v>
      </c>
      <c r="X52" s="11">
        <f t="shared" si="8"/>
        <v>782221</v>
      </c>
      <c r="Y52" s="11">
        <f t="shared" si="8"/>
        <v>3605986</v>
      </c>
      <c r="Z52" s="11">
        <f t="shared" si="8"/>
        <v>3792493</v>
      </c>
      <c r="AA52" s="11">
        <f t="shared" si="8"/>
        <v>2669787</v>
      </c>
      <c r="AB52" s="11">
        <f t="shared" si="8"/>
        <v>2357836</v>
      </c>
      <c r="AC52" s="11">
        <f t="shared" si="8"/>
        <v>1717359</v>
      </c>
      <c r="AD52" s="11">
        <f t="shared" si="8"/>
        <v>1186166</v>
      </c>
      <c r="AE52" s="11">
        <f t="shared" si="8"/>
        <v>798729</v>
      </c>
      <c r="AF52" s="11">
        <f t="shared" si="8"/>
        <v>551098</v>
      </c>
      <c r="AG52" s="11">
        <f t="shared" si="8"/>
        <v>297251</v>
      </c>
      <c r="AH52" s="11">
        <f t="shared" si="8"/>
        <v>-1788</v>
      </c>
      <c r="AI52" s="11">
        <f t="shared" si="8"/>
        <v>250922</v>
      </c>
      <c r="AJ52" s="11">
        <f t="shared" si="8"/>
        <v>77032</v>
      </c>
      <c r="AK52" s="11">
        <f t="shared" si="8"/>
        <v>319980</v>
      </c>
      <c r="AL52" s="11">
        <f t="shared" si="8"/>
        <v>233300</v>
      </c>
      <c r="AM52" s="11">
        <f t="shared" si="8"/>
        <v>327449</v>
      </c>
      <c r="AN52" s="11">
        <f t="shared" si="8"/>
        <v>169974</v>
      </c>
      <c r="AO52" s="11">
        <f t="shared" si="8"/>
        <v>94335</v>
      </c>
      <c r="AP52" s="11">
        <f t="shared" si="8"/>
        <v>118907</v>
      </c>
      <c r="AQ52" s="11">
        <f t="shared" si="8"/>
        <v>43969</v>
      </c>
      <c r="AR52" s="11">
        <f t="shared" si="8"/>
        <v>45502</v>
      </c>
      <c r="AS52" s="11">
        <f t="shared" si="8"/>
        <v>22756</v>
      </c>
      <c r="AT52" s="11">
        <f t="shared" si="8"/>
        <v>12354</v>
      </c>
      <c r="AU52" s="11">
        <f t="shared" si="8"/>
        <v>31539</v>
      </c>
      <c r="AV52" s="11">
        <f t="shared" si="8"/>
        <v>231285</v>
      </c>
      <c r="AW52" s="11">
        <f t="shared" si="8"/>
        <v>8637</v>
      </c>
      <c r="AX52" s="11">
        <f t="shared" si="8"/>
        <v>-44296</v>
      </c>
      <c r="AZ52" s="11">
        <f>+AZ13-AZ20+AZ32-AZ40-AZ45+AZ47-AZ49</f>
        <v>243950962</v>
      </c>
      <c r="BA52" s="12"/>
      <c r="BB52" s="31">
        <f>+BB13-BB20+BB32-BB40-BB45+BB47-BB49</f>
        <v>37103916</v>
      </c>
      <c r="BC52" s="31">
        <f>+BC13-BC20+BC32-BC40-BC45+BC47-BC49</f>
        <v>206847046</v>
      </c>
    </row>
    <row r="53" spans="1:55" ht="11.25" customHeight="1">
      <c r="A53" s="6"/>
      <c r="B53" s="6"/>
      <c r="AU53" s="12"/>
      <c r="AZ53" s="12"/>
      <c r="BA53" s="12"/>
      <c r="BB53" s="2"/>
      <c r="BC53" s="2"/>
    </row>
    <row r="54" spans="1:55" ht="11.25" customHeight="1" outlineLevel="1">
      <c r="A54" s="4" t="s">
        <v>78</v>
      </c>
      <c r="B54" s="4"/>
      <c r="C54" s="11">
        <f aca="true" t="shared" si="9" ref="C54:AX54">+C55+C56</f>
        <v>0</v>
      </c>
      <c r="D54" s="11">
        <f t="shared" si="9"/>
        <v>0</v>
      </c>
      <c r="E54" s="11">
        <f t="shared" si="9"/>
        <v>65299</v>
      </c>
      <c r="F54" s="11">
        <f t="shared" si="9"/>
        <v>35502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1">
        <f t="shared" si="9"/>
        <v>0</v>
      </c>
      <c r="L54" s="11">
        <f t="shared" si="9"/>
        <v>0</v>
      </c>
      <c r="M54" s="11">
        <f t="shared" si="9"/>
        <v>0</v>
      </c>
      <c r="N54" s="11">
        <f t="shared" si="9"/>
        <v>0</v>
      </c>
      <c r="O54" s="11">
        <f t="shared" si="9"/>
        <v>17081</v>
      </c>
      <c r="P54" s="11">
        <f t="shared" si="9"/>
        <v>6331</v>
      </c>
      <c r="Q54" s="11">
        <f t="shared" si="9"/>
        <v>0</v>
      </c>
      <c r="R54" s="11">
        <f t="shared" si="9"/>
        <v>0</v>
      </c>
      <c r="S54" s="11">
        <f t="shared" si="9"/>
        <v>0</v>
      </c>
      <c r="T54" s="11">
        <f t="shared" si="9"/>
        <v>14</v>
      </c>
      <c r="U54" s="11">
        <f t="shared" si="9"/>
        <v>0</v>
      </c>
      <c r="V54" s="11">
        <f t="shared" si="9"/>
        <v>0</v>
      </c>
      <c r="W54" s="11">
        <f t="shared" si="9"/>
        <v>0</v>
      </c>
      <c r="X54" s="11">
        <f t="shared" si="9"/>
        <v>0</v>
      </c>
      <c r="Y54" s="11">
        <f t="shared" si="9"/>
        <v>0</v>
      </c>
      <c r="Z54" s="11">
        <f t="shared" si="9"/>
        <v>0</v>
      </c>
      <c r="AA54" s="11">
        <f t="shared" si="9"/>
        <v>0</v>
      </c>
      <c r="AB54" s="11">
        <f t="shared" si="9"/>
        <v>0</v>
      </c>
      <c r="AC54" s="11">
        <f t="shared" si="9"/>
        <v>0</v>
      </c>
      <c r="AD54" s="11">
        <f t="shared" si="9"/>
        <v>0</v>
      </c>
      <c r="AE54" s="11">
        <f t="shared" si="9"/>
        <v>0</v>
      </c>
      <c r="AF54" s="11">
        <f t="shared" si="9"/>
        <v>2305</v>
      </c>
      <c r="AG54" s="11">
        <f t="shared" si="9"/>
        <v>0</v>
      </c>
      <c r="AH54" s="11">
        <f t="shared" si="9"/>
        <v>0</v>
      </c>
      <c r="AI54" s="11">
        <f t="shared" si="9"/>
        <v>0</v>
      </c>
      <c r="AJ54" s="11">
        <f t="shared" si="9"/>
        <v>0</v>
      </c>
      <c r="AK54" s="11">
        <f t="shared" si="9"/>
        <v>8615</v>
      </c>
      <c r="AL54" s="11">
        <f t="shared" si="9"/>
        <v>0</v>
      </c>
      <c r="AM54" s="11">
        <f t="shared" si="9"/>
        <v>0</v>
      </c>
      <c r="AN54" s="11">
        <f t="shared" si="9"/>
        <v>0</v>
      </c>
      <c r="AO54" s="11">
        <f t="shared" si="9"/>
        <v>0</v>
      </c>
      <c r="AP54" s="11">
        <f t="shared" si="9"/>
        <v>0</v>
      </c>
      <c r="AQ54" s="11">
        <f t="shared" si="9"/>
        <v>0</v>
      </c>
      <c r="AR54" s="11">
        <f t="shared" si="9"/>
        <v>0</v>
      </c>
      <c r="AS54" s="11">
        <f t="shared" si="9"/>
        <v>0</v>
      </c>
      <c r="AT54" s="11">
        <f t="shared" si="9"/>
        <v>0</v>
      </c>
      <c r="AU54" s="11">
        <f t="shared" si="9"/>
        <v>0</v>
      </c>
      <c r="AV54" s="11">
        <f t="shared" si="9"/>
        <v>0</v>
      </c>
      <c r="AW54" s="11">
        <f t="shared" si="9"/>
        <v>0</v>
      </c>
      <c r="AX54" s="11">
        <f t="shared" si="9"/>
        <v>0</v>
      </c>
      <c r="AZ54" s="11">
        <f>+AZ55+AZ56</f>
        <v>135147</v>
      </c>
      <c r="BB54" s="31">
        <f>+BB55+BB56</f>
        <v>8615</v>
      </c>
      <c r="BC54" s="31">
        <f>+BC55+BC56</f>
        <v>126532</v>
      </c>
    </row>
    <row r="55" spans="1:55" ht="11.25" customHeight="1" outlineLevel="1">
      <c r="A55" s="6" t="s">
        <v>79</v>
      </c>
      <c r="B55" s="6"/>
      <c r="C55" s="12">
        <v>0</v>
      </c>
      <c r="D55" s="12">
        <v>0</v>
      </c>
      <c r="E55" s="12">
        <v>65299</v>
      </c>
      <c r="F55" s="12">
        <v>35502</v>
      </c>
      <c r="G55" s="12">
        <v>0</v>
      </c>
      <c r="H55" s="12">
        <v>0</v>
      </c>
      <c r="I55" s="11">
        <v>0</v>
      </c>
      <c r="J55" s="11">
        <v>0</v>
      </c>
      <c r="K55" s="11">
        <v>0</v>
      </c>
      <c r="L55" s="12">
        <v>0</v>
      </c>
      <c r="M55" s="12">
        <v>0</v>
      </c>
      <c r="N55" s="12">
        <v>0</v>
      </c>
      <c r="O55" s="12">
        <v>17081</v>
      </c>
      <c r="P55" s="15">
        <v>6331</v>
      </c>
      <c r="Q55" s="12">
        <v>0</v>
      </c>
      <c r="R55" s="12">
        <v>0</v>
      </c>
      <c r="S55" s="12">
        <v>0</v>
      </c>
      <c r="T55" s="12">
        <v>14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1">
        <v>0</v>
      </c>
      <c r="AC55" s="12">
        <v>0</v>
      </c>
      <c r="AD55" s="12">
        <v>0</v>
      </c>
      <c r="AE55" s="11">
        <v>0</v>
      </c>
      <c r="AF55" s="12">
        <v>2305</v>
      </c>
      <c r="AG55" s="12">
        <v>0</v>
      </c>
      <c r="AH55" s="12">
        <v>0</v>
      </c>
      <c r="AI55" s="12">
        <v>0</v>
      </c>
      <c r="AJ55" s="12">
        <v>0</v>
      </c>
      <c r="AK55" s="12">
        <v>8615</v>
      </c>
      <c r="AL55" s="12">
        <v>0</v>
      </c>
      <c r="AM55" s="11">
        <v>0</v>
      </c>
      <c r="AN55" s="12">
        <v>0</v>
      </c>
      <c r="AO55" s="12">
        <v>0</v>
      </c>
      <c r="AP55" s="11">
        <v>0</v>
      </c>
      <c r="AQ55" s="15">
        <v>0</v>
      </c>
      <c r="AR55" s="11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1">
        <v>0</v>
      </c>
      <c r="AY55" s="12"/>
      <c r="AZ55" s="12">
        <f>SUM(C55:AY55)</f>
        <v>135147</v>
      </c>
      <c r="BA55" s="12"/>
      <c r="BB55" s="25">
        <f>SUMIF($C$163:$AX$163,"já",C55:AX55)</f>
        <v>8615</v>
      </c>
      <c r="BC55" s="25">
        <f>SUMIF($C$163:$AX$163,"nei",C55:AX55)</f>
        <v>126532</v>
      </c>
    </row>
    <row r="56" spans="1:55" ht="11.25" customHeight="1" outlineLevel="1">
      <c r="A56" s="6" t="s">
        <v>608</v>
      </c>
      <c r="B56" s="6"/>
      <c r="C56" s="26">
        <v>0</v>
      </c>
      <c r="D56" s="26">
        <v>0</v>
      </c>
      <c r="E56" s="11">
        <v>0</v>
      </c>
      <c r="F56" s="11">
        <v>0</v>
      </c>
      <c r="G56" s="26">
        <v>0</v>
      </c>
      <c r="H56" s="26">
        <v>0</v>
      </c>
      <c r="I56" s="11">
        <v>0</v>
      </c>
      <c r="J56" s="11">
        <v>0</v>
      </c>
      <c r="K56" s="26">
        <v>0</v>
      </c>
      <c r="L56" s="26">
        <v>0</v>
      </c>
      <c r="M56" s="11">
        <v>0</v>
      </c>
      <c r="N56" s="26">
        <v>0</v>
      </c>
      <c r="O56" s="26">
        <v>0</v>
      </c>
      <c r="P56" s="15">
        <v>0</v>
      </c>
      <c r="Q56" s="26">
        <v>0</v>
      </c>
      <c r="R56" s="11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1">
        <v>0</v>
      </c>
      <c r="Y56" s="26">
        <v>0</v>
      </c>
      <c r="Z56" s="26">
        <v>0</v>
      </c>
      <c r="AA56" s="11">
        <v>0</v>
      </c>
      <c r="AB56" s="26">
        <v>0</v>
      </c>
      <c r="AC56" s="11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11">
        <v>0</v>
      </c>
      <c r="AV56" s="26">
        <v>0</v>
      </c>
      <c r="AW56" s="26">
        <v>0</v>
      </c>
      <c r="AX56" s="26">
        <v>0</v>
      </c>
      <c r="AY56" s="26"/>
      <c r="AZ56" s="12">
        <f>SUM(C56:AY56)</f>
        <v>0</v>
      </c>
      <c r="BA56" s="12"/>
      <c r="BB56" s="25">
        <f>SUMIF($C$163:$AX$163,"já",C56:AX56)</f>
        <v>0</v>
      </c>
      <c r="BC56" s="25">
        <f>SUMIF($C$163:$AX$163,"nei",C56:AX56)</f>
        <v>0</v>
      </c>
    </row>
    <row r="57" spans="1:55" ht="11.25" customHeight="1" outlineLevel="1">
      <c r="A57" s="4"/>
      <c r="B57" s="4"/>
      <c r="C57" s="12"/>
      <c r="D57" s="12"/>
      <c r="E57" s="12"/>
      <c r="G57" s="12"/>
      <c r="H57" s="12"/>
      <c r="I57" s="12"/>
      <c r="J57" s="12"/>
      <c r="K57" s="12"/>
      <c r="L57" s="12"/>
      <c r="N57" s="12"/>
      <c r="O57" s="12"/>
      <c r="P57" s="15"/>
      <c r="R57" s="12"/>
      <c r="T57" s="12"/>
      <c r="U57" s="12"/>
      <c r="V57" s="12"/>
      <c r="W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P57" s="12"/>
      <c r="AQ57" s="15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2"/>
      <c r="BC57" s="2"/>
    </row>
    <row r="58" spans="1:55" ht="11.25" customHeight="1" outlineLevel="1">
      <c r="A58" s="4" t="s">
        <v>80</v>
      </c>
      <c r="B58" s="4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26"/>
      <c r="AZ58" s="12">
        <f>SUM(C58:AY58)</f>
        <v>0</v>
      </c>
      <c r="BA58" s="12"/>
      <c r="BB58" s="25">
        <f>SUMIF($I$163:$AX$163,"já",I58:AX58)</f>
        <v>0</v>
      </c>
      <c r="BC58" s="25">
        <f>SUMIF($I$163:$AX$163,"nei",I58:AX58)</f>
        <v>0</v>
      </c>
    </row>
    <row r="59" spans="1:55" ht="11.25" customHeight="1" outlineLevel="1">
      <c r="A59" s="4"/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2"/>
      <c r="BC59" s="2"/>
    </row>
    <row r="60" spans="1:55" ht="11.25" customHeight="1">
      <c r="A60" s="4" t="s">
        <v>81</v>
      </c>
      <c r="B60" s="4"/>
      <c r="C60" s="12">
        <f aca="true" t="shared" si="10" ref="C60:AX60">+C52+C55-C56+C58</f>
        <v>23710166</v>
      </c>
      <c r="D60" s="12">
        <f t="shared" si="10"/>
        <v>29662494</v>
      </c>
      <c r="E60" s="12">
        <f t="shared" si="10"/>
        <v>47921717</v>
      </c>
      <c r="F60" s="12">
        <f t="shared" si="10"/>
        <v>33722747</v>
      </c>
      <c r="G60" s="12">
        <f t="shared" si="10"/>
        <v>3054818</v>
      </c>
      <c r="H60" s="12">
        <f t="shared" si="10"/>
        <v>12748746</v>
      </c>
      <c r="I60" s="12">
        <f t="shared" si="10"/>
        <v>4464521</v>
      </c>
      <c r="J60" s="12">
        <f t="shared" si="10"/>
        <v>456899</v>
      </c>
      <c r="K60" s="12">
        <f t="shared" si="10"/>
        <v>2024964</v>
      </c>
      <c r="L60" s="12">
        <f t="shared" si="10"/>
        <v>11705042</v>
      </c>
      <c r="M60" s="12">
        <f t="shared" si="10"/>
        <v>1469580</v>
      </c>
      <c r="N60" s="12">
        <f t="shared" si="10"/>
        <v>8450871</v>
      </c>
      <c r="O60" s="12">
        <f t="shared" si="10"/>
        <v>9247870</v>
      </c>
      <c r="P60" s="12">
        <f t="shared" si="10"/>
        <v>9183393</v>
      </c>
      <c r="Q60" s="12">
        <f t="shared" si="10"/>
        <v>3692167</v>
      </c>
      <c r="R60" s="12">
        <f t="shared" si="10"/>
        <v>2454433</v>
      </c>
      <c r="S60" s="12">
        <f t="shared" si="10"/>
        <v>5451781</v>
      </c>
      <c r="T60" s="12">
        <f t="shared" si="10"/>
        <v>5114420</v>
      </c>
      <c r="U60" s="12">
        <f t="shared" si="10"/>
        <v>3846533</v>
      </c>
      <c r="V60" s="12">
        <f t="shared" si="10"/>
        <v>5316596</v>
      </c>
      <c r="W60" s="12">
        <f t="shared" si="10"/>
        <v>674648</v>
      </c>
      <c r="X60" s="12">
        <f t="shared" si="10"/>
        <v>782221</v>
      </c>
      <c r="Y60" s="12">
        <f t="shared" si="10"/>
        <v>3605986</v>
      </c>
      <c r="Z60" s="12">
        <f t="shared" si="10"/>
        <v>3792493</v>
      </c>
      <c r="AA60" s="12">
        <f t="shared" si="10"/>
        <v>2669787</v>
      </c>
      <c r="AB60" s="12">
        <f t="shared" si="10"/>
        <v>2357836</v>
      </c>
      <c r="AC60" s="12">
        <f t="shared" si="10"/>
        <v>1717359</v>
      </c>
      <c r="AD60" s="12">
        <f t="shared" si="10"/>
        <v>1186166</v>
      </c>
      <c r="AE60" s="12">
        <f t="shared" si="10"/>
        <v>798729</v>
      </c>
      <c r="AF60" s="12">
        <f t="shared" si="10"/>
        <v>553403</v>
      </c>
      <c r="AG60" s="12">
        <f t="shared" si="10"/>
        <v>297251</v>
      </c>
      <c r="AH60" s="12">
        <f t="shared" si="10"/>
        <v>-1788</v>
      </c>
      <c r="AI60" s="12">
        <f t="shared" si="10"/>
        <v>250922</v>
      </c>
      <c r="AJ60" s="12">
        <f t="shared" si="10"/>
        <v>77032</v>
      </c>
      <c r="AK60" s="12">
        <f t="shared" si="10"/>
        <v>328595</v>
      </c>
      <c r="AL60" s="12">
        <f t="shared" si="10"/>
        <v>233300</v>
      </c>
      <c r="AM60" s="12">
        <f t="shared" si="10"/>
        <v>327449</v>
      </c>
      <c r="AN60" s="12">
        <f t="shared" si="10"/>
        <v>169974</v>
      </c>
      <c r="AO60" s="12">
        <f t="shared" si="10"/>
        <v>94335</v>
      </c>
      <c r="AP60" s="12">
        <f t="shared" si="10"/>
        <v>118907</v>
      </c>
      <c r="AQ60" s="12">
        <f t="shared" si="10"/>
        <v>43969</v>
      </c>
      <c r="AR60" s="12">
        <f t="shared" si="10"/>
        <v>45502</v>
      </c>
      <c r="AS60" s="12">
        <f t="shared" si="10"/>
        <v>22756</v>
      </c>
      <c r="AT60" s="12">
        <f t="shared" si="10"/>
        <v>12354</v>
      </c>
      <c r="AU60" s="12">
        <f t="shared" si="10"/>
        <v>31539</v>
      </c>
      <c r="AV60" s="12">
        <f t="shared" si="10"/>
        <v>231285</v>
      </c>
      <c r="AW60" s="12">
        <f t="shared" si="10"/>
        <v>8637</v>
      </c>
      <c r="AX60" s="12">
        <f t="shared" si="10"/>
        <v>-44296</v>
      </c>
      <c r="AY60" s="12"/>
      <c r="AZ60" s="12">
        <f>+AZ52+AZ55-AZ56+AZ58</f>
        <v>244086109</v>
      </c>
      <c r="BA60" s="12"/>
      <c r="BB60" s="2">
        <f>+BB52+BB55-BB56+BB58</f>
        <v>37112531</v>
      </c>
      <c r="BC60" s="2">
        <f>+BC52+BC55-BC56+BC58</f>
        <v>206973578</v>
      </c>
    </row>
    <row r="61" spans="1:55" ht="11.25" customHeight="1">
      <c r="A61" s="6"/>
      <c r="B61" s="6"/>
      <c r="C61" s="26"/>
      <c r="D61" s="26"/>
      <c r="G61" s="26"/>
      <c r="H61" s="26"/>
      <c r="K61" s="26"/>
      <c r="L61" s="26"/>
      <c r="N61" s="26"/>
      <c r="O61" s="26"/>
      <c r="P61" s="15"/>
      <c r="Q61" s="26"/>
      <c r="S61" s="26"/>
      <c r="T61" s="26"/>
      <c r="U61" s="26"/>
      <c r="V61" s="26"/>
      <c r="W61" s="26"/>
      <c r="Y61" s="26"/>
      <c r="Z61" s="26"/>
      <c r="AB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V61" s="26"/>
      <c r="AW61" s="26"/>
      <c r="AX61" s="26"/>
      <c r="AY61" s="26"/>
      <c r="AZ61" s="12"/>
      <c r="BA61" s="12"/>
      <c r="BB61" s="2"/>
      <c r="BC61" s="2"/>
    </row>
    <row r="62" spans="1:55" ht="11.25" customHeight="1">
      <c r="A62" s="4" t="s">
        <v>82</v>
      </c>
      <c r="B62" s="4"/>
      <c r="C62" s="26">
        <v>67474436</v>
      </c>
      <c r="D62" s="26">
        <v>155738409</v>
      </c>
      <c r="E62" s="11">
        <v>186848342</v>
      </c>
      <c r="F62" s="11">
        <v>179702206</v>
      </c>
      <c r="G62" s="26">
        <v>3728391</v>
      </c>
      <c r="H62" s="26">
        <v>66025625</v>
      </c>
      <c r="I62" s="11">
        <v>18339325</v>
      </c>
      <c r="J62" s="11">
        <v>5261996</v>
      </c>
      <c r="K62" s="26">
        <v>5685874</v>
      </c>
      <c r="L62" s="26">
        <v>59820508</v>
      </c>
      <c r="M62" s="11">
        <v>10022057</v>
      </c>
      <c r="N62" s="26">
        <v>45904494</v>
      </c>
      <c r="O62" s="26">
        <v>41346480</v>
      </c>
      <c r="P62" s="15">
        <v>39349269</v>
      </c>
      <c r="Q62" s="26">
        <v>21046913</v>
      </c>
      <c r="R62" s="11">
        <v>7626276</v>
      </c>
      <c r="S62" s="26">
        <v>21919726</v>
      </c>
      <c r="T62" s="26">
        <v>20665916</v>
      </c>
      <c r="U62" s="26">
        <v>21798681</v>
      </c>
      <c r="V62" s="26">
        <v>14925337</v>
      </c>
      <c r="W62" s="26">
        <v>1225582</v>
      </c>
      <c r="X62" s="11">
        <v>1587143</v>
      </c>
      <c r="Y62" s="26">
        <v>18541820</v>
      </c>
      <c r="Z62" s="26">
        <v>17650885</v>
      </c>
      <c r="AA62" s="11">
        <v>18235581</v>
      </c>
      <c r="AB62" s="26">
        <v>11730153</v>
      </c>
      <c r="AC62" s="11">
        <v>11462020</v>
      </c>
      <c r="AD62" s="26">
        <v>10679590</v>
      </c>
      <c r="AE62" s="26">
        <v>6265271</v>
      </c>
      <c r="AF62" s="26">
        <v>3328634</v>
      </c>
      <c r="AG62" s="26">
        <v>3333553</v>
      </c>
      <c r="AH62" s="26">
        <v>185128</v>
      </c>
      <c r="AI62" s="26">
        <v>2635240</v>
      </c>
      <c r="AJ62" s="26">
        <v>245941</v>
      </c>
      <c r="AK62" s="26">
        <v>2063521</v>
      </c>
      <c r="AL62" s="26">
        <v>2144938</v>
      </c>
      <c r="AM62" s="26">
        <v>1859531</v>
      </c>
      <c r="AN62" s="26">
        <v>1596326</v>
      </c>
      <c r="AO62" s="26">
        <v>1030489</v>
      </c>
      <c r="AP62" s="26">
        <v>681958</v>
      </c>
      <c r="AQ62" s="26">
        <v>733214</v>
      </c>
      <c r="AR62" s="26">
        <v>647775</v>
      </c>
      <c r="AS62" s="26">
        <v>514859</v>
      </c>
      <c r="AT62" s="26">
        <v>457851</v>
      </c>
      <c r="AU62" s="11">
        <v>419890</v>
      </c>
      <c r="AV62" s="26">
        <v>212580</v>
      </c>
      <c r="AW62" s="26">
        <v>55886</v>
      </c>
      <c r="AX62" s="26">
        <v>71767</v>
      </c>
      <c r="AY62" s="26"/>
      <c r="AZ62" s="12">
        <f>SUM(C62:AY62)</f>
        <v>1112827387</v>
      </c>
      <c r="BA62" s="12"/>
      <c r="BB62" s="25">
        <f>SUMIF($C$163:$AX$163,"já",C62:AX62)</f>
        <v>200733208</v>
      </c>
      <c r="BC62" s="25">
        <f>SUMIF($C$163:$AX$163,"nei",C62:AX62)</f>
        <v>912094179</v>
      </c>
    </row>
    <row r="63" spans="1:55" ht="11.25" customHeight="1">
      <c r="A63" s="28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2"/>
      <c r="BC63" s="2"/>
    </row>
    <row r="64" spans="1:55" s="37" customFormat="1" ht="11.25" customHeight="1">
      <c r="A64" s="8" t="s">
        <v>83</v>
      </c>
      <c r="B64" s="8"/>
      <c r="C64" s="14">
        <f aca="true" t="shared" si="11" ref="C64:AX64">+C60+C62</f>
        <v>91184602</v>
      </c>
      <c r="D64" s="14">
        <f t="shared" si="11"/>
        <v>185400903</v>
      </c>
      <c r="E64" s="14">
        <f t="shared" si="11"/>
        <v>234770059</v>
      </c>
      <c r="F64" s="14">
        <f t="shared" si="11"/>
        <v>213424953</v>
      </c>
      <c r="G64" s="14">
        <f t="shared" si="11"/>
        <v>6783209</v>
      </c>
      <c r="H64" s="14">
        <f t="shared" si="11"/>
        <v>78774371</v>
      </c>
      <c r="I64" s="14">
        <f t="shared" si="11"/>
        <v>22803846</v>
      </c>
      <c r="J64" s="14">
        <f t="shared" si="11"/>
        <v>5718895</v>
      </c>
      <c r="K64" s="14">
        <f t="shared" si="11"/>
        <v>7710838</v>
      </c>
      <c r="L64" s="14">
        <f t="shared" si="11"/>
        <v>71525550</v>
      </c>
      <c r="M64" s="14">
        <f t="shared" si="11"/>
        <v>11491637</v>
      </c>
      <c r="N64" s="14">
        <f t="shared" si="11"/>
        <v>54355365</v>
      </c>
      <c r="O64" s="14">
        <f t="shared" si="11"/>
        <v>50594350</v>
      </c>
      <c r="P64" s="14">
        <f t="shared" si="11"/>
        <v>48532662</v>
      </c>
      <c r="Q64" s="14">
        <f t="shared" si="11"/>
        <v>24739080</v>
      </c>
      <c r="R64" s="14">
        <f t="shared" si="11"/>
        <v>10080709</v>
      </c>
      <c r="S64" s="14">
        <f t="shared" si="11"/>
        <v>27371507</v>
      </c>
      <c r="T64" s="14">
        <f t="shared" si="11"/>
        <v>25780336</v>
      </c>
      <c r="U64" s="14">
        <f t="shared" si="11"/>
        <v>25645214</v>
      </c>
      <c r="V64" s="14">
        <f t="shared" si="11"/>
        <v>20241933</v>
      </c>
      <c r="W64" s="14">
        <f t="shared" si="11"/>
        <v>1900230</v>
      </c>
      <c r="X64" s="14">
        <f t="shared" si="11"/>
        <v>2369364</v>
      </c>
      <c r="Y64" s="14">
        <f t="shared" si="11"/>
        <v>22147806</v>
      </c>
      <c r="Z64" s="14">
        <f t="shared" si="11"/>
        <v>21443378</v>
      </c>
      <c r="AA64" s="14">
        <f t="shared" si="11"/>
        <v>20905368</v>
      </c>
      <c r="AB64" s="14">
        <f t="shared" si="11"/>
        <v>14087989</v>
      </c>
      <c r="AC64" s="14">
        <f t="shared" si="11"/>
        <v>13179379</v>
      </c>
      <c r="AD64" s="14">
        <f t="shared" si="11"/>
        <v>11865756</v>
      </c>
      <c r="AE64" s="14">
        <f t="shared" si="11"/>
        <v>7064000</v>
      </c>
      <c r="AF64" s="14">
        <f t="shared" si="11"/>
        <v>3882037</v>
      </c>
      <c r="AG64" s="14">
        <f t="shared" si="11"/>
        <v>3630804</v>
      </c>
      <c r="AH64" s="14">
        <f t="shared" si="11"/>
        <v>183340</v>
      </c>
      <c r="AI64" s="14">
        <f t="shared" si="11"/>
        <v>2886162</v>
      </c>
      <c r="AJ64" s="14">
        <f t="shared" si="11"/>
        <v>322973</v>
      </c>
      <c r="AK64" s="14">
        <f t="shared" si="11"/>
        <v>2392116</v>
      </c>
      <c r="AL64" s="14">
        <f t="shared" si="11"/>
        <v>2378238</v>
      </c>
      <c r="AM64" s="14">
        <f t="shared" si="11"/>
        <v>2186980</v>
      </c>
      <c r="AN64" s="14">
        <f t="shared" si="11"/>
        <v>1766300</v>
      </c>
      <c r="AO64" s="14">
        <f t="shared" si="11"/>
        <v>1124824</v>
      </c>
      <c r="AP64" s="14">
        <f t="shared" si="11"/>
        <v>800865</v>
      </c>
      <c r="AQ64" s="14">
        <f t="shared" si="11"/>
        <v>777183</v>
      </c>
      <c r="AR64" s="14">
        <f t="shared" si="11"/>
        <v>693277</v>
      </c>
      <c r="AS64" s="14">
        <f t="shared" si="11"/>
        <v>537615</v>
      </c>
      <c r="AT64" s="14">
        <f t="shared" si="11"/>
        <v>470205</v>
      </c>
      <c r="AU64" s="14">
        <f t="shared" si="11"/>
        <v>451429</v>
      </c>
      <c r="AV64" s="14">
        <f t="shared" si="11"/>
        <v>443865</v>
      </c>
      <c r="AW64" s="14">
        <f t="shared" si="11"/>
        <v>64523</v>
      </c>
      <c r="AX64" s="14">
        <f t="shared" si="11"/>
        <v>27471</v>
      </c>
      <c r="AY64" s="14"/>
      <c r="AZ64" s="14">
        <f>+AZ60+AZ62</f>
        <v>1356913496</v>
      </c>
      <c r="BA64" s="14"/>
      <c r="BB64" s="352">
        <f>+BB60+BB62</f>
        <v>237845739</v>
      </c>
      <c r="BC64" s="352">
        <f>+BC60+BC62</f>
        <v>1119067757</v>
      </c>
    </row>
    <row r="65" spans="1:55" s="37" customFormat="1" ht="11.25" customHeight="1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  <c r="AZ65" s="12"/>
      <c r="BA65" s="12"/>
      <c r="BB65" s="2"/>
      <c r="BC65" s="2"/>
    </row>
    <row r="66" spans="1:55" ht="18" customHeight="1">
      <c r="A66" s="9" t="s">
        <v>84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V66" s="12"/>
      <c r="AW66" s="12"/>
      <c r="AX66" s="12"/>
      <c r="AY66" s="12"/>
      <c r="AZ66" s="12"/>
      <c r="BA66" s="12"/>
      <c r="BB66" s="2"/>
      <c r="BC66" s="2"/>
    </row>
    <row r="67" spans="1:55" ht="11.25" customHeight="1">
      <c r="A67" s="16" t="s">
        <v>85</v>
      </c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2"/>
      <c r="BC67" s="2"/>
    </row>
    <row r="68" spans="1:55" ht="11.25" customHeight="1" outlineLevel="1">
      <c r="A68" s="17" t="s">
        <v>86</v>
      </c>
      <c r="B68" s="17"/>
      <c r="C68" s="26">
        <v>0</v>
      </c>
      <c r="D68" s="32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26">
        <v>0</v>
      </c>
      <c r="L68" s="26">
        <v>0</v>
      </c>
      <c r="M68" s="11">
        <v>0</v>
      </c>
      <c r="N68" s="32">
        <v>0</v>
      </c>
      <c r="O68" s="26">
        <v>0</v>
      </c>
      <c r="P68" s="11">
        <v>0</v>
      </c>
      <c r="Q68" s="11">
        <v>0</v>
      </c>
      <c r="R68" s="11">
        <v>0</v>
      </c>
      <c r="S68" s="32">
        <v>0</v>
      </c>
      <c r="T68" s="11">
        <v>0</v>
      </c>
      <c r="U68" s="11">
        <v>0</v>
      </c>
      <c r="V68" s="26">
        <v>0</v>
      </c>
      <c r="W68" s="11">
        <v>0</v>
      </c>
      <c r="X68" s="11">
        <v>0</v>
      </c>
      <c r="Y68" s="26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2">
        <v>0</v>
      </c>
      <c r="AF68" s="26">
        <v>0</v>
      </c>
      <c r="AG68" s="26">
        <v>0</v>
      </c>
      <c r="AH68" s="26">
        <v>0</v>
      </c>
      <c r="AI68" s="26">
        <v>0</v>
      </c>
      <c r="AJ68" s="11">
        <v>0</v>
      </c>
      <c r="AK68" s="26">
        <v>0</v>
      </c>
      <c r="AL68" s="11">
        <v>0</v>
      </c>
      <c r="AM68" s="26">
        <v>0</v>
      </c>
      <c r="AN68" s="26">
        <v>0</v>
      </c>
      <c r="AO68" s="26">
        <v>0</v>
      </c>
      <c r="AP68" s="11">
        <v>0</v>
      </c>
      <c r="AQ68" s="26">
        <v>0</v>
      </c>
      <c r="AR68" s="26">
        <v>0</v>
      </c>
      <c r="AS68" s="26">
        <v>0</v>
      </c>
      <c r="AT68" s="26">
        <v>0</v>
      </c>
      <c r="AU68" s="11">
        <v>0</v>
      </c>
      <c r="AV68" s="26">
        <v>0</v>
      </c>
      <c r="AW68" s="11">
        <v>0</v>
      </c>
      <c r="AX68" s="26">
        <v>0</v>
      </c>
      <c r="AY68" s="26"/>
      <c r="AZ68" s="12">
        <f>SUM(C68:AY68)</f>
        <v>0</v>
      </c>
      <c r="BA68" s="12"/>
      <c r="BB68" s="25">
        <f>SUMIF($C$163:$AX$163,"já",C68:AX68)</f>
        <v>0</v>
      </c>
      <c r="BC68" s="25">
        <f>SUMIF($C$163:$AX$163,"nei",C68:AX68)</f>
        <v>0</v>
      </c>
    </row>
    <row r="69" spans="1:55" ht="11.25" customHeight="1" outlineLevel="1">
      <c r="A69" s="4"/>
      <c r="B69" s="4"/>
      <c r="C69" s="26"/>
      <c r="D69" s="32"/>
      <c r="K69" s="26"/>
      <c r="L69" s="15"/>
      <c r="N69" s="32"/>
      <c r="O69" s="26"/>
      <c r="S69" s="32"/>
      <c r="V69" s="26"/>
      <c r="Y69" s="26"/>
      <c r="AE69" s="32"/>
      <c r="AF69" s="26"/>
      <c r="AG69" s="26"/>
      <c r="AH69" s="26"/>
      <c r="AI69" s="26"/>
      <c r="AK69" s="26"/>
      <c r="AM69" s="26"/>
      <c r="AN69" s="26"/>
      <c r="AO69" s="26"/>
      <c r="AQ69" s="26"/>
      <c r="AR69" s="26"/>
      <c r="AS69" s="26"/>
      <c r="AT69" s="26"/>
      <c r="AV69" s="26"/>
      <c r="AX69" s="26"/>
      <c r="AY69" s="26"/>
      <c r="AZ69" s="12"/>
      <c r="BA69" s="12"/>
      <c r="BB69" s="2"/>
      <c r="BC69" s="2"/>
    </row>
    <row r="70" spans="1:55" ht="11.25" customHeight="1" outlineLevel="1">
      <c r="A70" s="4" t="s">
        <v>87</v>
      </c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2"/>
      <c r="AR70" s="15"/>
      <c r="AS70" s="15"/>
      <c r="AT70" s="15"/>
      <c r="AU70" s="15"/>
      <c r="AV70" s="15"/>
      <c r="AW70" s="15"/>
      <c r="AX70" s="15"/>
      <c r="AY70" s="15"/>
      <c r="AZ70" s="12"/>
      <c r="BA70" s="12"/>
      <c r="BB70" s="2"/>
      <c r="BC70" s="2"/>
    </row>
    <row r="71" spans="1:55" ht="11.25" customHeight="1" outlineLevel="1">
      <c r="A71" s="6" t="s">
        <v>88</v>
      </c>
      <c r="B71" s="6"/>
      <c r="C71" s="15">
        <v>65284</v>
      </c>
      <c r="D71" s="15">
        <v>65284</v>
      </c>
      <c r="E71" s="15">
        <v>293804</v>
      </c>
      <c r="F71" s="15">
        <v>204759</v>
      </c>
      <c r="G71" s="15">
        <v>0</v>
      </c>
      <c r="H71" s="15">
        <v>147877</v>
      </c>
      <c r="I71" s="15">
        <v>0</v>
      </c>
      <c r="J71" s="15">
        <v>0</v>
      </c>
      <c r="K71" s="15">
        <v>0</v>
      </c>
      <c r="L71" s="15">
        <v>65344</v>
      </c>
      <c r="M71" s="15">
        <v>14788</v>
      </c>
      <c r="N71" s="15">
        <v>73600</v>
      </c>
      <c r="O71" s="15">
        <v>0</v>
      </c>
      <c r="P71" s="12">
        <v>28079</v>
      </c>
      <c r="Q71" s="15">
        <v>0</v>
      </c>
      <c r="R71" s="15">
        <v>0</v>
      </c>
      <c r="S71" s="15">
        <v>25149</v>
      </c>
      <c r="T71" s="15">
        <v>0</v>
      </c>
      <c r="U71" s="15">
        <v>35356</v>
      </c>
      <c r="V71" s="15">
        <v>0</v>
      </c>
      <c r="W71" s="15">
        <v>0</v>
      </c>
      <c r="X71" s="15">
        <v>0</v>
      </c>
      <c r="Y71" s="15">
        <v>14508</v>
      </c>
      <c r="Z71" s="15">
        <v>23082</v>
      </c>
      <c r="AA71" s="15">
        <v>0</v>
      </c>
      <c r="AB71" s="15">
        <v>17563</v>
      </c>
      <c r="AC71" s="15">
        <v>0</v>
      </c>
      <c r="AD71" s="15">
        <v>0</v>
      </c>
      <c r="AE71" s="15">
        <v>0</v>
      </c>
      <c r="AF71" s="15">
        <v>11383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2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/>
      <c r="AZ71" s="12">
        <f>SUM(C71:AY71)</f>
        <v>1085860</v>
      </c>
      <c r="BA71" s="12"/>
      <c r="BB71" s="25">
        <f>SUMIF($C$163:$AX$163,"já",C71:AX71)</f>
        <v>79792</v>
      </c>
      <c r="BC71" s="25">
        <f>SUMIF($C$163:$AX$163,"nei",C71:AX71)</f>
        <v>1006068</v>
      </c>
    </row>
    <row r="72" spans="1:55" ht="11.25" customHeight="1" outlineLevel="1">
      <c r="A72" s="6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2"/>
      <c r="N72" s="15"/>
      <c r="O72" s="15"/>
      <c r="P72" s="1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2"/>
      <c r="AR72" s="15"/>
      <c r="AS72" s="15"/>
      <c r="AT72" s="15"/>
      <c r="AU72" s="15"/>
      <c r="AV72" s="15"/>
      <c r="AW72" s="15"/>
      <c r="AX72" s="15"/>
      <c r="AY72" s="15"/>
      <c r="AZ72" s="12"/>
      <c r="BA72" s="12"/>
      <c r="BB72" s="2"/>
      <c r="BC72" s="2"/>
    </row>
    <row r="73" spans="1:55" ht="11.25" customHeight="1" outlineLevel="1">
      <c r="A73" s="18" t="s">
        <v>89</v>
      </c>
      <c r="B73" s="1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2"/>
      <c r="N73" s="15"/>
      <c r="O73" s="15"/>
      <c r="P73" s="1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2"/>
      <c r="AR73" s="15"/>
      <c r="AS73" s="15"/>
      <c r="AT73" s="15"/>
      <c r="AU73" s="15"/>
      <c r="AV73" s="15"/>
      <c r="AW73" s="15"/>
      <c r="AX73" s="15"/>
      <c r="AY73" s="15"/>
      <c r="AZ73" s="12"/>
      <c r="BA73" s="12"/>
      <c r="BB73" s="2"/>
      <c r="BC73" s="2"/>
    </row>
    <row r="74" spans="1:55" ht="11.25" customHeight="1" outlineLevel="1">
      <c r="A74" s="6" t="s">
        <v>90</v>
      </c>
      <c r="B74" s="6"/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2">
        <v>0</v>
      </c>
      <c r="N74" s="15">
        <v>0</v>
      </c>
      <c r="O74" s="15">
        <v>0</v>
      </c>
      <c r="P74" s="12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2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/>
      <c r="AZ74" s="12">
        <f>SUM(C74:AY74)</f>
        <v>0</v>
      </c>
      <c r="BA74" s="12"/>
      <c r="BB74" s="25">
        <f>SUMIF($C$163:$AX$163,"já",C74:AX74)</f>
        <v>0</v>
      </c>
      <c r="BC74" s="25">
        <f>SUMIF($C$163:$AX$163,"nei",C74:AX74)</f>
        <v>0</v>
      </c>
    </row>
    <row r="75" spans="1:55" ht="11.25" customHeight="1" outlineLevel="1">
      <c r="A75" s="6" t="s">
        <v>91</v>
      </c>
      <c r="B75" s="6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2">
        <v>0</v>
      </c>
      <c r="N75" s="15">
        <v>0</v>
      </c>
      <c r="O75" s="15">
        <v>0</v>
      </c>
      <c r="P75" s="12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2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/>
      <c r="AZ75" s="12">
        <f>SUM(C75:AY75)</f>
        <v>0</v>
      </c>
      <c r="BA75" s="12"/>
      <c r="BB75" s="25">
        <f>SUMIF($C$163:$AX$163,"já",C75:AX75)</f>
        <v>0</v>
      </c>
      <c r="BC75" s="25">
        <f>SUMIF($C$163:$AX$163,"nei",C75:AX75)</f>
        <v>0</v>
      </c>
    </row>
    <row r="76" spans="1:55" ht="11.25" customHeight="1" outlineLevel="1">
      <c r="A76" s="6" t="s">
        <v>92</v>
      </c>
      <c r="B76" s="6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2">
        <v>0</v>
      </c>
      <c r="N76" s="15">
        <v>0</v>
      </c>
      <c r="O76" s="15">
        <v>0</v>
      </c>
      <c r="P76" s="12">
        <v>0</v>
      </c>
      <c r="Q76" s="15">
        <v>0</v>
      </c>
      <c r="R76" s="15">
        <v>0</v>
      </c>
      <c r="S76" s="15">
        <v>32345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29855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2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/>
      <c r="AZ76" s="12">
        <f>SUM(C76:AY76)</f>
        <v>62200</v>
      </c>
      <c r="BA76" s="12"/>
      <c r="BB76" s="25">
        <f>SUMIF($C$163:$AX$163,"já",C76:AX76)</f>
        <v>0</v>
      </c>
      <c r="BC76" s="25">
        <f>SUMIF($C$163:$AX$163,"nei",C76:AX76)</f>
        <v>62200</v>
      </c>
    </row>
    <row r="77" spans="1:55" ht="11.25" customHeight="1" outlineLevel="1">
      <c r="A77" s="6" t="s">
        <v>93</v>
      </c>
      <c r="B77" s="6"/>
      <c r="C77" s="26">
        <v>0</v>
      </c>
      <c r="D77" s="26">
        <v>0</v>
      </c>
      <c r="E77" s="11">
        <v>0</v>
      </c>
      <c r="F77" s="11">
        <v>0</v>
      </c>
      <c r="G77" s="11">
        <v>0</v>
      </c>
      <c r="H77" s="11">
        <v>0</v>
      </c>
      <c r="I77" s="15">
        <v>0</v>
      </c>
      <c r="J77" s="15">
        <v>0</v>
      </c>
      <c r="K77" s="26">
        <v>0</v>
      </c>
      <c r="L77" s="26">
        <v>0</v>
      </c>
      <c r="M77" s="11">
        <v>0</v>
      </c>
      <c r="N77" s="26">
        <v>0</v>
      </c>
      <c r="O77" s="26">
        <v>0</v>
      </c>
      <c r="P77" s="11">
        <v>0</v>
      </c>
      <c r="Q77" s="11">
        <v>0</v>
      </c>
      <c r="R77" s="11">
        <v>0</v>
      </c>
      <c r="S77" s="26">
        <v>0</v>
      </c>
      <c r="T77" s="11">
        <v>0</v>
      </c>
      <c r="U77" s="11">
        <v>0</v>
      </c>
      <c r="V77" s="26">
        <v>0</v>
      </c>
      <c r="W77" s="11">
        <v>0</v>
      </c>
      <c r="X77" s="11">
        <v>0</v>
      </c>
      <c r="Y77" s="26">
        <v>0</v>
      </c>
      <c r="Z77" s="11">
        <v>0</v>
      </c>
      <c r="AA77" s="11">
        <v>0</v>
      </c>
      <c r="AB77" s="26">
        <v>0</v>
      </c>
      <c r="AC77" s="11">
        <v>0</v>
      </c>
      <c r="AD77" s="11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11">
        <v>0</v>
      </c>
      <c r="AK77" s="26">
        <v>0</v>
      </c>
      <c r="AL77" s="11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15">
        <v>0</v>
      </c>
      <c r="AU77" s="11">
        <v>0</v>
      </c>
      <c r="AV77" s="26">
        <v>0</v>
      </c>
      <c r="AW77" s="11">
        <v>0</v>
      </c>
      <c r="AX77" s="26">
        <v>0</v>
      </c>
      <c r="AY77" s="26"/>
      <c r="AZ77" s="12">
        <f>SUM(C77:AY77)</f>
        <v>0</v>
      </c>
      <c r="BA77" s="12"/>
      <c r="BB77" s="25">
        <f>SUMIF($C$163:$AX$163,"já",C77:AX77)</f>
        <v>0</v>
      </c>
      <c r="BC77" s="25">
        <f>SUMIF($C$163:$AX$163,"nei",C77:AX77)</f>
        <v>0</v>
      </c>
    </row>
    <row r="78" spans="1:55" ht="11.25" customHeight="1" outlineLevel="1">
      <c r="A78" s="6"/>
      <c r="B78" s="6"/>
      <c r="C78" s="26"/>
      <c r="D78" s="26"/>
      <c r="I78" s="15"/>
      <c r="J78" s="15"/>
      <c r="K78" s="26"/>
      <c r="N78" s="26"/>
      <c r="O78" s="26"/>
      <c r="S78" s="26"/>
      <c r="V78" s="26"/>
      <c r="Y78" s="26"/>
      <c r="AB78" s="26"/>
      <c r="AE78" s="26"/>
      <c r="AF78" s="26"/>
      <c r="AG78" s="26"/>
      <c r="AH78" s="26"/>
      <c r="AI78" s="26"/>
      <c r="AK78" s="26"/>
      <c r="AM78" s="26"/>
      <c r="AN78" s="26"/>
      <c r="AO78" s="26"/>
      <c r="AP78" s="26"/>
      <c r="AQ78" s="26"/>
      <c r="AR78" s="26"/>
      <c r="AS78" s="26"/>
      <c r="AT78" s="15"/>
      <c r="AV78" s="26"/>
      <c r="AX78" s="26"/>
      <c r="AY78" s="26"/>
      <c r="AZ78" s="12"/>
      <c r="BA78" s="12"/>
      <c r="BB78" s="2"/>
      <c r="BC78" s="2"/>
    </row>
    <row r="79" spans="1:55" ht="11.25" customHeight="1" outlineLevel="1">
      <c r="A79" s="18" t="s">
        <v>94</v>
      </c>
      <c r="B79" s="18"/>
      <c r="C79" s="15"/>
      <c r="D79" s="15"/>
      <c r="E79" s="15"/>
      <c r="F79" s="15"/>
      <c r="G79" s="15"/>
      <c r="H79" s="1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2"/>
      <c r="BA79" s="12"/>
      <c r="BB79" s="2"/>
      <c r="BC79" s="2"/>
    </row>
    <row r="80" spans="1:55" ht="11.25" customHeight="1" outlineLevel="1">
      <c r="A80" s="6" t="s">
        <v>95</v>
      </c>
      <c r="B80" s="6"/>
      <c r="C80" s="15">
        <v>43309707</v>
      </c>
      <c r="D80" s="15">
        <v>85689438</v>
      </c>
      <c r="E80" s="15">
        <v>135224089</v>
      </c>
      <c r="F80" s="15">
        <v>111404326</v>
      </c>
      <c r="G80" s="15">
        <v>0</v>
      </c>
      <c r="H80" s="12">
        <v>42693027</v>
      </c>
      <c r="I80" s="15">
        <v>16649490</v>
      </c>
      <c r="J80" s="15">
        <v>1309631</v>
      </c>
      <c r="K80" s="15">
        <v>5904998</v>
      </c>
      <c r="L80" s="15">
        <v>32248694</v>
      </c>
      <c r="M80" s="15">
        <v>6468326</v>
      </c>
      <c r="N80" s="15">
        <v>26840434</v>
      </c>
      <c r="O80" s="15">
        <v>19498557</v>
      </c>
      <c r="P80" s="15">
        <v>25202870</v>
      </c>
      <c r="Q80" s="15">
        <v>11416561</v>
      </c>
      <c r="R80" s="15">
        <v>5944976</v>
      </c>
      <c r="S80" s="15">
        <v>16192685</v>
      </c>
      <c r="T80" s="15">
        <v>11453319</v>
      </c>
      <c r="U80" s="15">
        <v>14874824</v>
      </c>
      <c r="V80" s="15">
        <v>8685468</v>
      </c>
      <c r="W80" s="15">
        <v>815356</v>
      </c>
      <c r="X80" s="15">
        <v>2263331</v>
      </c>
      <c r="Y80" s="15">
        <v>10897026</v>
      </c>
      <c r="Z80" s="15">
        <v>9751128</v>
      </c>
      <c r="AA80" s="15">
        <v>16690235</v>
      </c>
      <c r="AB80" s="15">
        <v>10002947</v>
      </c>
      <c r="AC80" s="15">
        <v>2056770</v>
      </c>
      <c r="AD80" s="15">
        <v>2392884</v>
      </c>
      <c r="AE80" s="15">
        <v>5058112</v>
      </c>
      <c r="AF80" s="15">
        <v>1845855</v>
      </c>
      <c r="AG80" s="15">
        <v>2994868</v>
      </c>
      <c r="AH80" s="15">
        <v>118107</v>
      </c>
      <c r="AI80" s="15">
        <v>2414541</v>
      </c>
      <c r="AJ80" s="15">
        <v>295020</v>
      </c>
      <c r="AK80" s="15">
        <v>1479354</v>
      </c>
      <c r="AL80" s="15">
        <v>1049705</v>
      </c>
      <c r="AM80" s="15">
        <v>994586</v>
      </c>
      <c r="AN80" s="15">
        <v>1623437</v>
      </c>
      <c r="AO80" s="15">
        <v>976731</v>
      </c>
      <c r="AP80" s="15">
        <v>530149</v>
      </c>
      <c r="AQ80" s="15">
        <v>625009</v>
      </c>
      <c r="AR80" s="15">
        <v>7072</v>
      </c>
      <c r="AS80" s="15">
        <v>508519</v>
      </c>
      <c r="AT80" s="15">
        <v>25609</v>
      </c>
      <c r="AU80" s="15">
        <v>166889</v>
      </c>
      <c r="AV80" s="15">
        <v>185721</v>
      </c>
      <c r="AW80" s="15">
        <v>900</v>
      </c>
      <c r="AX80" s="15">
        <v>0</v>
      </c>
      <c r="AY80" s="15"/>
      <c r="AZ80" s="12">
        <f aca="true" t="shared" si="12" ref="AZ80:AZ85">SUM(C80:AY80)</f>
        <v>696781281</v>
      </c>
      <c r="BA80" s="12"/>
      <c r="BB80" s="25">
        <f aca="true" t="shared" si="13" ref="BB80:BB85">SUMIF($C$163:$AX$163,"já",C80:AX80)</f>
        <v>109203488</v>
      </c>
      <c r="BC80" s="25">
        <f aca="true" t="shared" si="14" ref="BC80:BC85">SUMIF($C$163:$AX$163,"nei",C80:AX80)</f>
        <v>587577793</v>
      </c>
    </row>
    <row r="81" spans="1:55" ht="11.25" customHeight="1" outlineLevel="1">
      <c r="A81" s="6" t="s">
        <v>96</v>
      </c>
      <c r="B81" s="6"/>
      <c r="C81" s="15">
        <v>35673353</v>
      </c>
      <c r="D81" s="15">
        <v>76523309</v>
      </c>
      <c r="E81" s="15">
        <v>64530549</v>
      </c>
      <c r="F81" s="15">
        <v>92364602</v>
      </c>
      <c r="G81" s="15">
        <v>0</v>
      </c>
      <c r="H81" s="12">
        <v>33207955</v>
      </c>
      <c r="I81" s="15">
        <v>4581834</v>
      </c>
      <c r="J81" s="15">
        <v>2766101</v>
      </c>
      <c r="K81" s="15">
        <v>1207083</v>
      </c>
      <c r="L81" s="15">
        <v>29719444</v>
      </c>
      <c r="M81" s="15">
        <v>4499417</v>
      </c>
      <c r="N81" s="15">
        <v>26200238</v>
      </c>
      <c r="O81" s="15">
        <v>28605992</v>
      </c>
      <c r="P81" s="15">
        <v>21915557</v>
      </c>
      <c r="Q81" s="15">
        <v>12359494</v>
      </c>
      <c r="R81" s="15">
        <v>3317244</v>
      </c>
      <c r="S81" s="15">
        <v>8605399</v>
      </c>
      <c r="T81" s="15">
        <v>9713536</v>
      </c>
      <c r="U81" s="15">
        <v>10476859</v>
      </c>
      <c r="V81" s="15">
        <v>7175860</v>
      </c>
      <c r="W81" s="15">
        <v>673640</v>
      </c>
      <c r="X81" s="15">
        <v>117627</v>
      </c>
      <c r="Y81" s="15">
        <v>9515293</v>
      </c>
      <c r="Z81" s="15">
        <v>10298600</v>
      </c>
      <c r="AA81" s="15">
        <v>3360091</v>
      </c>
      <c r="AB81" s="15">
        <v>2078380</v>
      </c>
      <c r="AC81" s="15">
        <v>6147964</v>
      </c>
      <c r="AD81" s="15">
        <v>9218363</v>
      </c>
      <c r="AE81" s="15">
        <v>1732120</v>
      </c>
      <c r="AF81" s="15">
        <v>1598430</v>
      </c>
      <c r="AG81" s="15">
        <v>598202</v>
      </c>
      <c r="AH81" s="15">
        <v>48598</v>
      </c>
      <c r="AI81" s="15">
        <v>458861</v>
      </c>
      <c r="AJ81" s="15">
        <v>24245</v>
      </c>
      <c r="AK81" s="15">
        <v>592313</v>
      </c>
      <c r="AL81" s="15">
        <v>1251441</v>
      </c>
      <c r="AM81" s="15">
        <v>915540</v>
      </c>
      <c r="AN81" s="15">
        <v>129599</v>
      </c>
      <c r="AO81" s="15">
        <v>148512</v>
      </c>
      <c r="AP81" s="15">
        <v>162898</v>
      </c>
      <c r="AQ81" s="15">
        <v>153414</v>
      </c>
      <c r="AR81" s="15">
        <v>140335</v>
      </c>
      <c r="AS81" s="15">
        <v>33497</v>
      </c>
      <c r="AT81" s="15">
        <v>380879</v>
      </c>
      <c r="AU81" s="15">
        <v>251604</v>
      </c>
      <c r="AV81" s="15">
        <v>181081</v>
      </c>
      <c r="AW81" s="15">
        <v>475</v>
      </c>
      <c r="AX81" s="15">
        <v>13798</v>
      </c>
      <c r="AY81" s="15"/>
      <c r="AZ81" s="12">
        <f t="shared" si="12"/>
        <v>523669626</v>
      </c>
      <c r="BA81" s="12"/>
      <c r="BB81" s="25">
        <f t="shared" si="13"/>
        <v>97484946</v>
      </c>
      <c r="BC81" s="25">
        <f t="shared" si="14"/>
        <v>426184680</v>
      </c>
    </row>
    <row r="82" spans="1:55" ht="11.25" customHeight="1" outlineLevel="1">
      <c r="A82" s="12" t="s">
        <v>97</v>
      </c>
      <c r="B82" s="12"/>
      <c r="C82" s="15">
        <v>11410285</v>
      </c>
      <c r="D82" s="15">
        <v>24335757</v>
      </c>
      <c r="E82" s="15">
        <v>30625966</v>
      </c>
      <c r="F82" s="15">
        <v>10083178</v>
      </c>
      <c r="G82" s="15">
        <v>0</v>
      </c>
      <c r="H82" s="15">
        <v>8902739</v>
      </c>
      <c r="I82" s="15">
        <v>1419206</v>
      </c>
      <c r="J82" s="15">
        <v>1652197</v>
      </c>
      <c r="K82" s="15">
        <v>359884</v>
      </c>
      <c r="L82" s="15">
        <v>8742861</v>
      </c>
      <c r="M82" s="15">
        <v>29129</v>
      </c>
      <c r="N82" s="15">
        <v>444270</v>
      </c>
      <c r="O82" s="15">
        <v>1515268</v>
      </c>
      <c r="P82" s="15">
        <v>882896</v>
      </c>
      <c r="Q82" s="15">
        <v>1069164</v>
      </c>
      <c r="R82" s="15">
        <v>709166</v>
      </c>
      <c r="S82" s="15">
        <v>844955</v>
      </c>
      <c r="T82" s="15">
        <v>3872487</v>
      </c>
      <c r="U82" s="15">
        <v>360028</v>
      </c>
      <c r="V82" s="15">
        <v>3123444</v>
      </c>
      <c r="W82" s="15">
        <v>293216</v>
      </c>
      <c r="X82" s="15">
        <v>0</v>
      </c>
      <c r="Y82" s="15">
        <v>1928548</v>
      </c>
      <c r="Z82" s="15">
        <v>0</v>
      </c>
      <c r="AA82" s="15">
        <v>367999</v>
      </c>
      <c r="AB82" s="15">
        <v>1943860</v>
      </c>
      <c r="AC82" s="15">
        <v>1169239</v>
      </c>
      <c r="AD82" s="15">
        <v>298423</v>
      </c>
      <c r="AE82" s="15">
        <v>0</v>
      </c>
      <c r="AF82" s="15">
        <v>0</v>
      </c>
      <c r="AG82" s="15">
        <v>47367</v>
      </c>
      <c r="AH82" s="15">
        <v>4490</v>
      </c>
      <c r="AI82" s="15">
        <v>14282</v>
      </c>
      <c r="AJ82" s="15">
        <v>0</v>
      </c>
      <c r="AK82" s="15">
        <v>288801</v>
      </c>
      <c r="AL82" s="15">
        <v>63902</v>
      </c>
      <c r="AM82" s="15">
        <v>255654</v>
      </c>
      <c r="AN82" s="15">
        <v>10263</v>
      </c>
      <c r="AO82" s="15">
        <v>0</v>
      </c>
      <c r="AP82" s="15">
        <v>38724</v>
      </c>
      <c r="AQ82" s="15">
        <v>0</v>
      </c>
      <c r="AR82" s="15">
        <v>21148</v>
      </c>
      <c r="AS82" s="15">
        <v>454</v>
      </c>
      <c r="AT82" s="15">
        <v>14957</v>
      </c>
      <c r="AU82" s="15">
        <v>17047</v>
      </c>
      <c r="AV82" s="15">
        <v>48844</v>
      </c>
      <c r="AW82" s="15">
        <v>1269</v>
      </c>
      <c r="AX82" s="15">
        <v>15002</v>
      </c>
      <c r="AY82" s="15"/>
      <c r="AZ82" s="12">
        <f t="shared" si="12"/>
        <v>117226369</v>
      </c>
      <c r="BA82" s="12"/>
      <c r="BB82" s="25">
        <f t="shared" si="13"/>
        <v>28167277</v>
      </c>
      <c r="BC82" s="25">
        <f t="shared" si="14"/>
        <v>89059092</v>
      </c>
    </row>
    <row r="83" spans="1:55" ht="11.25" customHeight="1" outlineLevel="1">
      <c r="A83" s="12" t="s">
        <v>98</v>
      </c>
      <c r="B83" s="12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2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436085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/>
      <c r="AZ83" s="12">
        <f t="shared" si="12"/>
        <v>436085</v>
      </c>
      <c r="BA83" s="12"/>
      <c r="BB83" s="25">
        <f t="shared" si="13"/>
        <v>0</v>
      </c>
      <c r="BC83" s="25">
        <f t="shared" si="14"/>
        <v>436085</v>
      </c>
    </row>
    <row r="84" spans="1:55" ht="11.25" customHeight="1" outlineLevel="1">
      <c r="A84" s="6" t="s">
        <v>99</v>
      </c>
      <c r="B84" s="6"/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737514</v>
      </c>
      <c r="O84" s="15">
        <v>0</v>
      </c>
      <c r="P84" s="15">
        <v>440494</v>
      </c>
      <c r="Q84" s="15">
        <v>0</v>
      </c>
      <c r="R84" s="15">
        <v>0</v>
      </c>
      <c r="S84" s="15">
        <v>0</v>
      </c>
      <c r="T84" s="15">
        <v>523943</v>
      </c>
      <c r="U84" s="15">
        <v>0</v>
      </c>
      <c r="V84" s="15">
        <v>865457</v>
      </c>
      <c r="W84" s="15">
        <v>81246</v>
      </c>
      <c r="X84" s="15">
        <v>0</v>
      </c>
      <c r="Y84" s="15">
        <v>0</v>
      </c>
      <c r="Z84" s="15">
        <v>740711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457882</v>
      </c>
      <c r="AS84" s="15">
        <v>0</v>
      </c>
      <c r="AT84" s="15">
        <v>0</v>
      </c>
      <c r="AU84" s="15">
        <v>5353</v>
      </c>
      <c r="AV84" s="15">
        <v>19387</v>
      </c>
      <c r="AW84" s="15">
        <v>0</v>
      </c>
      <c r="AX84" s="15">
        <v>0</v>
      </c>
      <c r="AY84" s="15"/>
      <c r="AZ84" s="12">
        <f t="shared" si="12"/>
        <v>3871987</v>
      </c>
      <c r="BA84" s="12"/>
      <c r="BB84" s="25">
        <f t="shared" si="13"/>
        <v>24740</v>
      </c>
      <c r="BC84" s="25">
        <f t="shared" si="14"/>
        <v>3847247</v>
      </c>
    </row>
    <row r="85" spans="1:55" ht="11.25" customHeight="1" outlineLevel="1">
      <c r="A85" s="12" t="s">
        <v>94</v>
      </c>
      <c r="B85" s="12"/>
      <c r="C85" s="15">
        <v>0</v>
      </c>
      <c r="D85" s="15">
        <v>1157</v>
      </c>
      <c r="E85" s="15">
        <v>0</v>
      </c>
      <c r="F85" s="15">
        <v>4282</v>
      </c>
      <c r="G85" s="15">
        <v>0</v>
      </c>
      <c r="H85" s="15">
        <v>0</v>
      </c>
      <c r="I85" s="15">
        <v>0</v>
      </c>
      <c r="J85" s="15">
        <v>0</v>
      </c>
      <c r="K85" s="15">
        <v>2760</v>
      </c>
      <c r="L85" s="15">
        <v>109020</v>
      </c>
      <c r="M85" s="15">
        <v>0</v>
      </c>
      <c r="N85" s="15">
        <v>0</v>
      </c>
      <c r="O85" s="15">
        <v>567</v>
      </c>
      <c r="P85" s="15">
        <v>0</v>
      </c>
      <c r="Q85" s="15">
        <v>0</v>
      </c>
      <c r="R85" s="15">
        <v>0</v>
      </c>
      <c r="S85" s="15">
        <v>1141563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453972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-5000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/>
      <c r="AZ85" s="12">
        <f t="shared" si="12"/>
        <v>1708321</v>
      </c>
      <c r="BA85" s="12"/>
      <c r="BB85" s="25">
        <f t="shared" si="13"/>
        <v>1157</v>
      </c>
      <c r="BC85" s="25">
        <f t="shared" si="14"/>
        <v>1707164</v>
      </c>
    </row>
    <row r="86" spans="1:55" ht="11.25" customHeight="1" outlineLevel="1">
      <c r="A86" s="19" t="s">
        <v>100</v>
      </c>
      <c r="B86" s="19"/>
      <c r="C86" s="15">
        <f aca="true" t="shared" si="15" ref="C86:AX86">SUM(C80:C85)</f>
        <v>90393345</v>
      </c>
      <c r="D86" s="15">
        <f t="shared" si="15"/>
        <v>186549661</v>
      </c>
      <c r="E86" s="15">
        <f t="shared" si="15"/>
        <v>230380604</v>
      </c>
      <c r="F86" s="15">
        <f t="shared" si="15"/>
        <v>213856388</v>
      </c>
      <c r="G86" s="15">
        <f t="shared" si="15"/>
        <v>0</v>
      </c>
      <c r="H86" s="15">
        <f t="shared" si="15"/>
        <v>84803721</v>
      </c>
      <c r="I86" s="15">
        <f t="shared" si="15"/>
        <v>22650530</v>
      </c>
      <c r="J86" s="15">
        <f t="shared" si="15"/>
        <v>5727929</v>
      </c>
      <c r="K86" s="15">
        <f t="shared" si="15"/>
        <v>7474725</v>
      </c>
      <c r="L86" s="15">
        <f t="shared" si="15"/>
        <v>70820019</v>
      </c>
      <c r="M86" s="15">
        <f t="shared" si="15"/>
        <v>10996872</v>
      </c>
      <c r="N86" s="15">
        <f t="shared" si="15"/>
        <v>54222456</v>
      </c>
      <c r="O86" s="15">
        <f t="shared" si="15"/>
        <v>49620384</v>
      </c>
      <c r="P86" s="15">
        <f t="shared" si="15"/>
        <v>48441817</v>
      </c>
      <c r="Q86" s="15">
        <f t="shared" si="15"/>
        <v>24845219</v>
      </c>
      <c r="R86" s="15">
        <f t="shared" si="15"/>
        <v>9971386</v>
      </c>
      <c r="S86" s="15">
        <f t="shared" si="15"/>
        <v>26784602</v>
      </c>
      <c r="T86" s="15">
        <f t="shared" si="15"/>
        <v>25563285</v>
      </c>
      <c r="U86" s="15">
        <f t="shared" si="15"/>
        <v>25711711</v>
      </c>
      <c r="V86" s="15">
        <f t="shared" si="15"/>
        <v>19850229</v>
      </c>
      <c r="W86" s="15">
        <f t="shared" si="15"/>
        <v>1863458</v>
      </c>
      <c r="X86" s="15">
        <f t="shared" si="15"/>
        <v>2380958</v>
      </c>
      <c r="Y86" s="15">
        <f t="shared" si="15"/>
        <v>22340867</v>
      </c>
      <c r="Z86" s="15">
        <f t="shared" si="15"/>
        <v>21244411</v>
      </c>
      <c r="AA86" s="15">
        <f t="shared" si="15"/>
        <v>20854410</v>
      </c>
      <c r="AB86" s="15">
        <f t="shared" si="15"/>
        <v>14025187</v>
      </c>
      <c r="AC86" s="15">
        <f t="shared" si="15"/>
        <v>9373973</v>
      </c>
      <c r="AD86" s="15">
        <f t="shared" si="15"/>
        <v>11909670</v>
      </c>
      <c r="AE86" s="15">
        <f t="shared" si="15"/>
        <v>6790232</v>
      </c>
      <c r="AF86" s="15">
        <f t="shared" si="15"/>
        <v>3444285</v>
      </c>
      <c r="AG86" s="15">
        <f t="shared" si="15"/>
        <v>3640437</v>
      </c>
      <c r="AH86" s="15">
        <f t="shared" si="15"/>
        <v>171195</v>
      </c>
      <c r="AI86" s="15">
        <f t="shared" si="15"/>
        <v>2887684</v>
      </c>
      <c r="AJ86" s="15">
        <f t="shared" si="15"/>
        <v>319265</v>
      </c>
      <c r="AK86" s="15">
        <f t="shared" si="15"/>
        <v>2360468</v>
      </c>
      <c r="AL86" s="15">
        <f t="shared" si="15"/>
        <v>2365048</v>
      </c>
      <c r="AM86" s="15">
        <f t="shared" si="15"/>
        <v>2165780</v>
      </c>
      <c r="AN86" s="15">
        <f t="shared" si="15"/>
        <v>1763299</v>
      </c>
      <c r="AO86" s="15">
        <f t="shared" si="15"/>
        <v>1125243</v>
      </c>
      <c r="AP86" s="15">
        <f t="shared" si="15"/>
        <v>731771</v>
      </c>
      <c r="AQ86" s="15">
        <f t="shared" si="15"/>
        <v>778423</v>
      </c>
      <c r="AR86" s="15">
        <f t="shared" si="15"/>
        <v>621437</v>
      </c>
      <c r="AS86" s="15">
        <f t="shared" si="15"/>
        <v>542470</v>
      </c>
      <c r="AT86" s="15">
        <f t="shared" si="15"/>
        <v>421445</v>
      </c>
      <c r="AU86" s="15">
        <f t="shared" si="15"/>
        <v>440893</v>
      </c>
      <c r="AV86" s="15">
        <f t="shared" si="15"/>
        <v>435033</v>
      </c>
      <c r="AW86" s="15">
        <f t="shared" si="15"/>
        <v>2644</v>
      </c>
      <c r="AX86" s="15">
        <f t="shared" si="15"/>
        <v>28800</v>
      </c>
      <c r="AY86" s="15"/>
      <c r="AZ86" s="15">
        <f>SUM(AZ80:AZ85)</f>
        <v>1343693669</v>
      </c>
      <c r="BA86" s="15"/>
      <c r="BB86" s="25">
        <f>SUM(BB80:BB85)</f>
        <v>234881608</v>
      </c>
      <c r="BC86" s="25">
        <f>SUM(BC80:BC85)</f>
        <v>1108812061</v>
      </c>
    </row>
    <row r="87" spans="1:55" ht="11.25" customHeight="1">
      <c r="A87" s="4" t="s">
        <v>101</v>
      </c>
      <c r="B87" s="4"/>
      <c r="C87" s="15">
        <f aca="true" t="shared" si="16" ref="C87:AX87">SUM(C74:C77)+C68+C71+C86</f>
        <v>90458629</v>
      </c>
      <c r="D87" s="15">
        <f t="shared" si="16"/>
        <v>186614945</v>
      </c>
      <c r="E87" s="15">
        <f t="shared" si="16"/>
        <v>230674408</v>
      </c>
      <c r="F87" s="15">
        <f t="shared" si="16"/>
        <v>214061147</v>
      </c>
      <c r="G87" s="15">
        <f t="shared" si="16"/>
        <v>0</v>
      </c>
      <c r="H87" s="15">
        <f t="shared" si="16"/>
        <v>84951598</v>
      </c>
      <c r="I87" s="15">
        <f t="shared" si="16"/>
        <v>22650530</v>
      </c>
      <c r="J87" s="15">
        <f t="shared" si="16"/>
        <v>5727929</v>
      </c>
      <c r="K87" s="15">
        <f t="shared" si="16"/>
        <v>7474725</v>
      </c>
      <c r="L87" s="15">
        <f t="shared" si="16"/>
        <v>70885363</v>
      </c>
      <c r="M87" s="15">
        <f t="shared" si="16"/>
        <v>11011660</v>
      </c>
      <c r="N87" s="15">
        <f t="shared" si="16"/>
        <v>54296056</v>
      </c>
      <c r="O87" s="15">
        <f t="shared" si="16"/>
        <v>49620384</v>
      </c>
      <c r="P87" s="15">
        <f t="shared" si="16"/>
        <v>48469896</v>
      </c>
      <c r="Q87" s="15">
        <f t="shared" si="16"/>
        <v>24845219</v>
      </c>
      <c r="R87" s="15">
        <f t="shared" si="16"/>
        <v>9971386</v>
      </c>
      <c r="S87" s="15">
        <f t="shared" si="16"/>
        <v>26842096</v>
      </c>
      <c r="T87" s="15">
        <f t="shared" si="16"/>
        <v>25563285</v>
      </c>
      <c r="U87" s="15">
        <f t="shared" si="16"/>
        <v>25747067</v>
      </c>
      <c r="V87" s="15">
        <f t="shared" si="16"/>
        <v>19850229</v>
      </c>
      <c r="W87" s="15">
        <f t="shared" si="16"/>
        <v>1863458</v>
      </c>
      <c r="X87" s="15">
        <f t="shared" si="16"/>
        <v>2380958</v>
      </c>
      <c r="Y87" s="15">
        <f t="shared" si="16"/>
        <v>22355375</v>
      </c>
      <c r="Z87" s="15">
        <f t="shared" si="16"/>
        <v>21297348</v>
      </c>
      <c r="AA87" s="15">
        <f t="shared" si="16"/>
        <v>20854410</v>
      </c>
      <c r="AB87" s="15">
        <f t="shared" si="16"/>
        <v>14042750</v>
      </c>
      <c r="AC87" s="15">
        <f t="shared" si="16"/>
        <v>9373973</v>
      </c>
      <c r="AD87" s="15">
        <f t="shared" si="16"/>
        <v>11909670</v>
      </c>
      <c r="AE87" s="15">
        <f t="shared" si="16"/>
        <v>6790232</v>
      </c>
      <c r="AF87" s="15">
        <f t="shared" si="16"/>
        <v>3455668</v>
      </c>
      <c r="AG87" s="15">
        <f t="shared" si="16"/>
        <v>3640437</v>
      </c>
      <c r="AH87" s="15">
        <f t="shared" si="16"/>
        <v>171195</v>
      </c>
      <c r="AI87" s="15">
        <f t="shared" si="16"/>
        <v>2887684</v>
      </c>
      <c r="AJ87" s="15">
        <f t="shared" si="16"/>
        <v>319265</v>
      </c>
      <c r="AK87" s="15">
        <f t="shared" si="16"/>
        <v>2360468</v>
      </c>
      <c r="AL87" s="15">
        <f t="shared" si="16"/>
        <v>2365048</v>
      </c>
      <c r="AM87" s="15">
        <f t="shared" si="16"/>
        <v>2165780</v>
      </c>
      <c r="AN87" s="15">
        <f t="shared" si="16"/>
        <v>1763299</v>
      </c>
      <c r="AO87" s="15">
        <f t="shared" si="16"/>
        <v>1125243</v>
      </c>
      <c r="AP87" s="15">
        <f t="shared" si="16"/>
        <v>731771</v>
      </c>
      <c r="AQ87" s="15">
        <f t="shared" si="16"/>
        <v>778423</v>
      </c>
      <c r="AR87" s="15">
        <f t="shared" si="16"/>
        <v>621437</v>
      </c>
      <c r="AS87" s="15">
        <f t="shared" si="16"/>
        <v>542470</v>
      </c>
      <c r="AT87" s="15">
        <f t="shared" si="16"/>
        <v>421445</v>
      </c>
      <c r="AU87" s="15">
        <f t="shared" si="16"/>
        <v>440893</v>
      </c>
      <c r="AV87" s="15">
        <f t="shared" si="16"/>
        <v>435033</v>
      </c>
      <c r="AW87" s="15">
        <f t="shared" si="16"/>
        <v>2644</v>
      </c>
      <c r="AX87" s="15">
        <f t="shared" si="16"/>
        <v>28800</v>
      </c>
      <c r="AY87" s="15"/>
      <c r="AZ87" s="15">
        <f>SUM(AZ74:AZ77)+AZ68+AZ71+AZ86</f>
        <v>1344841729</v>
      </c>
      <c r="BA87" s="15"/>
      <c r="BB87" s="25">
        <f>SUM(BB74:BB77)+BB68+BB71+BB86</f>
        <v>234961400</v>
      </c>
      <c r="BC87" s="25">
        <f>SUM(BC74:BC77)+BC68+BC71+BC86</f>
        <v>1109880329</v>
      </c>
    </row>
    <row r="88" spans="1:55" ht="11.25" customHeight="1">
      <c r="A88" s="4"/>
      <c r="B88" s="4"/>
      <c r="C88" s="26"/>
      <c r="D88" s="26"/>
      <c r="F88" s="26"/>
      <c r="G88" s="26"/>
      <c r="I88" s="15"/>
      <c r="J88" s="15"/>
      <c r="K88" s="26"/>
      <c r="L88" s="15"/>
      <c r="N88" s="26"/>
      <c r="O88" s="26"/>
      <c r="S88" s="26"/>
      <c r="T88" s="26"/>
      <c r="U88" s="26"/>
      <c r="V88" s="26"/>
      <c r="W88" s="26"/>
      <c r="X88" s="26"/>
      <c r="Y88" s="26"/>
      <c r="AB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15"/>
      <c r="AR88" s="26"/>
      <c r="AS88" s="26"/>
      <c r="AT88" s="26"/>
      <c r="AV88" s="26"/>
      <c r="AW88" s="26"/>
      <c r="AX88" s="26"/>
      <c r="AY88" s="26"/>
      <c r="AZ88" s="12"/>
      <c r="BA88" s="12"/>
      <c r="BB88" s="2"/>
      <c r="BC88" s="2"/>
    </row>
    <row r="89" spans="1:55" ht="11.25" customHeight="1" outlineLevel="1">
      <c r="A89" s="4" t="s">
        <v>102</v>
      </c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2"/>
      <c r="BA89" s="12"/>
      <c r="BB89" s="2"/>
      <c r="BC89" s="2"/>
    </row>
    <row r="90" spans="1:55" ht="11.25" customHeight="1" outlineLevel="1">
      <c r="A90" s="6" t="s">
        <v>103</v>
      </c>
      <c r="B90" s="6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-29335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11699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/>
      <c r="AZ90" s="12">
        <f>SUM(C90:AY90)</f>
        <v>-17636</v>
      </c>
      <c r="BA90" s="12"/>
      <c r="BB90" s="25">
        <f>SUMIF($C$163:$AX$163,"já",C90:AX90)</f>
        <v>11699</v>
      </c>
      <c r="BC90" s="25">
        <f>SUMIF($C$163:$AX$163,"nei",C90:AX90)</f>
        <v>-29335</v>
      </c>
    </row>
    <row r="91" spans="1:55" ht="11.25" customHeight="1" outlineLevel="1">
      <c r="A91" s="6" t="s">
        <v>104</v>
      </c>
      <c r="B91" s="6"/>
      <c r="C91" s="15">
        <v>178485</v>
      </c>
      <c r="D91" s="15">
        <v>330375</v>
      </c>
      <c r="E91" s="15">
        <v>1440000</v>
      </c>
      <c r="F91" s="15">
        <v>646486</v>
      </c>
      <c r="G91" s="15">
        <v>226471</v>
      </c>
      <c r="H91" s="15">
        <v>90423</v>
      </c>
      <c r="I91" s="15">
        <v>0</v>
      </c>
      <c r="J91" s="15">
        <v>0</v>
      </c>
      <c r="K91" s="15">
        <v>164716</v>
      </c>
      <c r="L91" s="15">
        <v>325834</v>
      </c>
      <c r="M91" s="15">
        <v>111996</v>
      </c>
      <c r="N91" s="15">
        <v>254645</v>
      </c>
      <c r="O91" s="15">
        <v>607921</v>
      </c>
      <c r="P91" s="15">
        <v>429346</v>
      </c>
      <c r="Q91" s="15">
        <v>0</v>
      </c>
      <c r="R91" s="15">
        <v>0</v>
      </c>
      <c r="S91" s="15">
        <v>271507</v>
      </c>
      <c r="T91" s="15">
        <v>142112</v>
      </c>
      <c r="U91" s="15">
        <v>363530</v>
      </c>
      <c r="V91" s="15">
        <v>220115</v>
      </c>
      <c r="W91" s="15">
        <v>20663</v>
      </c>
      <c r="X91" s="15">
        <v>27601</v>
      </c>
      <c r="Y91" s="15">
        <v>10668</v>
      </c>
      <c r="Z91" s="15">
        <v>60756</v>
      </c>
      <c r="AA91" s="15">
        <v>49222</v>
      </c>
      <c r="AB91" s="15">
        <v>69377</v>
      </c>
      <c r="AC91" s="15">
        <v>3695662</v>
      </c>
      <c r="AD91" s="15">
        <v>0</v>
      </c>
      <c r="AE91" s="15">
        <v>258863</v>
      </c>
      <c r="AF91" s="15">
        <v>3892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16515</v>
      </c>
      <c r="AM91" s="15">
        <v>0</v>
      </c>
      <c r="AN91" s="15">
        <v>0</v>
      </c>
      <c r="AO91" s="15">
        <v>0</v>
      </c>
      <c r="AP91" s="15">
        <v>751</v>
      </c>
      <c r="AQ91" s="15">
        <v>0</v>
      </c>
      <c r="AR91" s="15">
        <v>0</v>
      </c>
      <c r="AS91" s="15">
        <v>0</v>
      </c>
      <c r="AT91" s="15">
        <v>0</v>
      </c>
      <c r="AU91" s="15">
        <v>19</v>
      </c>
      <c r="AV91" s="15">
        <v>2011</v>
      </c>
      <c r="AW91" s="15">
        <v>0</v>
      </c>
      <c r="AX91" s="15">
        <v>0</v>
      </c>
      <c r="AY91" s="15"/>
      <c r="AZ91" s="12">
        <f>SUM(C91:AY91)</f>
        <v>10019962</v>
      </c>
      <c r="BA91" s="12"/>
      <c r="BB91" s="25">
        <f>SUMIF($C$163:$AX$163,"já",C91:AX91)</f>
        <v>4314864</v>
      </c>
      <c r="BC91" s="25">
        <f>SUMIF($C$163:$AX$163,"nei",C91:AX91)</f>
        <v>5705098</v>
      </c>
    </row>
    <row r="92" spans="1:55" ht="11.25" customHeight="1" outlineLevel="1">
      <c r="A92" s="12" t="s">
        <v>105</v>
      </c>
      <c r="B92" s="12"/>
      <c r="C92" s="15">
        <v>978</v>
      </c>
      <c r="D92" s="15">
        <v>2764</v>
      </c>
      <c r="E92" s="15">
        <v>1320815</v>
      </c>
      <c r="F92" s="15">
        <v>343797</v>
      </c>
      <c r="G92" s="15">
        <v>6616958</v>
      </c>
      <c r="H92" s="15">
        <v>11719</v>
      </c>
      <c r="I92" s="15">
        <v>7208</v>
      </c>
      <c r="J92" s="15">
        <v>6590</v>
      </c>
      <c r="K92" s="15">
        <v>10279</v>
      </c>
      <c r="L92" s="15">
        <v>11032</v>
      </c>
      <c r="M92" s="15">
        <v>2324</v>
      </c>
      <c r="N92" s="15">
        <v>218925</v>
      </c>
      <c r="O92" s="15">
        <v>0</v>
      </c>
      <c r="P92" s="15">
        <v>409441</v>
      </c>
      <c r="Q92" s="15">
        <v>45373</v>
      </c>
      <c r="R92" s="15">
        <v>7264</v>
      </c>
      <c r="S92" s="15">
        <v>1998</v>
      </c>
      <c r="T92" s="15">
        <v>6</v>
      </c>
      <c r="U92" s="15">
        <v>68530</v>
      </c>
      <c r="V92" s="15">
        <v>596</v>
      </c>
      <c r="W92" s="15">
        <v>56</v>
      </c>
      <c r="X92" s="15">
        <v>3263</v>
      </c>
      <c r="Y92" s="15">
        <v>110</v>
      </c>
      <c r="Z92" s="15">
        <v>5854</v>
      </c>
      <c r="AA92" s="15">
        <v>11602</v>
      </c>
      <c r="AB92" s="15">
        <v>3836</v>
      </c>
      <c r="AC92" s="15">
        <v>0</v>
      </c>
      <c r="AD92" s="15">
        <v>29874</v>
      </c>
      <c r="AE92" s="15">
        <v>7030</v>
      </c>
      <c r="AF92" s="15">
        <v>0</v>
      </c>
      <c r="AG92" s="15">
        <v>2097</v>
      </c>
      <c r="AH92" s="15">
        <v>1755</v>
      </c>
      <c r="AI92" s="15">
        <v>0</v>
      </c>
      <c r="AJ92" s="15">
        <v>3256</v>
      </c>
      <c r="AK92" s="15">
        <v>0</v>
      </c>
      <c r="AL92" s="15">
        <v>0</v>
      </c>
      <c r="AM92" s="15">
        <v>5921</v>
      </c>
      <c r="AN92" s="15">
        <v>5406</v>
      </c>
      <c r="AO92" s="15">
        <v>82347</v>
      </c>
      <c r="AP92" s="15">
        <v>0</v>
      </c>
      <c r="AQ92" s="15">
        <v>0</v>
      </c>
      <c r="AR92" s="15">
        <v>84</v>
      </c>
      <c r="AS92" s="15">
        <v>0</v>
      </c>
      <c r="AT92" s="15">
        <v>0</v>
      </c>
      <c r="AU92" s="15">
        <v>117</v>
      </c>
      <c r="AV92" s="15">
        <v>30</v>
      </c>
      <c r="AW92" s="15">
        <v>0</v>
      </c>
      <c r="AX92" s="15">
        <v>0</v>
      </c>
      <c r="AY92" s="15"/>
      <c r="AZ92" s="12">
        <f>SUM(C92:AY92)</f>
        <v>9249235</v>
      </c>
      <c r="BA92" s="12"/>
      <c r="BB92" s="25">
        <f>SUMIF($C$163:$AX$163,"já",C92:AX92)</f>
        <v>100074</v>
      </c>
      <c r="BC92" s="25">
        <f>SUMIF($C$163:$AX$163,"nei",C92:AX92)</f>
        <v>9149161</v>
      </c>
    </row>
    <row r="93" spans="1:55" ht="11.25" customHeight="1">
      <c r="A93" s="4" t="s">
        <v>106</v>
      </c>
      <c r="B93" s="4"/>
      <c r="C93" s="15">
        <f aca="true" t="shared" si="17" ref="C93:AX93">SUM(C90:C92)</f>
        <v>179463</v>
      </c>
      <c r="D93" s="15">
        <f t="shared" si="17"/>
        <v>333139</v>
      </c>
      <c r="E93" s="15">
        <f t="shared" si="17"/>
        <v>2760815</v>
      </c>
      <c r="F93" s="15">
        <f t="shared" si="17"/>
        <v>990283</v>
      </c>
      <c r="G93" s="15">
        <f t="shared" si="17"/>
        <v>6843429</v>
      </c>
      <c r="H93" s="15">
        <f t="shared" si="17"/>
        <v>102142</v>
      </c>
      <c r="I93" s="15">
        <f t="shared" si="17"/>
        <v>7208</v>
      </c>
      <c r="J93" s="15">
        <f t="shared" si="17"/>
        <v>6590</v>
      </c>
      <c r="K93" s="15">
        <f t="shared" si="17"/>
        <v>174995</v>
      </c>
      <c r="L93" s="15">
        <f t="shared" si="17"/>
        <v>336866</v>
      </c>
      <c r="M93" s="15">
        <f t="shared" si="17"/>
        <v>114320</v>
      </c>
      <c r="N93" s="15">
        <f t="shared" si="17"/>
        <v>473570</v>
      </c>
      <c r="O93" s="15">
        <f t="shared" si="17"/>
        <v>607921</v>
      </c>
      <c r="P93" s="15">
        <f t="shared" si="17"/>
        <v>838787</v>
      </c>
      <c r="Q93" s="15">
        <f t="shared" si="17"/>
        <v>45373</v>
      </c>
      <c r="R93" s="15">
        <f t="shared" si="17"/>
        <v>7264</v>
      </c>
      <c r="S93" s="15">
        <f t="shared" si="17"/>
        <v>273505</v>
      </c>
      <c r="T93" s="15">
        <f t="shared" si="17"/>
        <v>142118</v>
      </c>
      <c r="U93" s="15">
        <f t="shared" si="17"/>
        <v>432060</v>
      </c>
      <c r="V93" s="15">
        <f t="shared" si="17"/>
        <v>220711</v>
      </c>
      <c r="W93" s="15">
        <f t="shared" si="17"/>
        <v>20719</v>
      </c>
      <c r="X93" s="15">
        <f t="shared" si="17"/>
        <v>1529</v>
      </c>
      <c r="Y93" s="15">
        <f t="shared" si="17"/>
        <v>10778</v>
      </c>
      <c r="Z93" s="15">
        <f t="shared" si="17"/>
        <v>66610</v>
      </c>
      <c r="AA93" s="15">
        <f t="shared" si="17"/>
        <v>60824</v>
      </c>
      <c r="AB93" s="15">
        <f t="shared" si="17"/>
        <v>73213</v>
      </c>
      <c r="AC93" s="15">
        <f t="shared" si="17"/>
        <v>3695662</v>
      </c>
      <c r="AD93" s="15">
        <f t="shared" si="17"/>
        <v>29874</v>
      </c>
      <c r="AE93" s="15">
        <f t="shared" si="17"/>
        <v>265893</v>
      </c>
      <c r="AF93" s="15">
        <f t="shared" si="17"/>
        <v>3892</v>
      </c>
      <c r="AG93" s="15">
        <f t="shared" si="17"/>
        <v>2097</v>
      </c>
      <c r="AH93" s="15">
        <f t="shared" si="17"/>
        <v>13454</v>
      </c>
      <c r="AI93" s="15">
        <f t="shared" si="17"/>
        <v>0</v>
      </c>
      <c r="AJ93" s="15">
        <f t="shared" si="17"/>
        <v>3256</v>
      </c>
      <c r="AK93" s="15">
        <f t="shared" si="17"/>
        <v>0</v>
      </c>
      <c r="AL93" s="15">
        <f t="shared" si="17"/>
        <v>16515</v>
      </c>
      <c r="AM93" s="15">
        <f t="shared" si="17"/>
        <v>5921</v>
      </c>
      <c r="AN93" s="15">
        <f t="shared" si="17"/>
        <v>5406</v>
      </c>
      <c r="AO93" s="15">
        <f t="shared" si="17"/>
        <v>82347</v>
      </c>
      <c r="AP93" s="15">
        <f t="shared" si="17"/>
        <v>751</v>
      </c>
      <c r="AQ93" s="15">
        <f t="shared" si="17"/>
        <v>0</v>
      </c>
      <c r="AR93" s="15">
        <f t="shared" si="17"/>
        <v>84</v>
      </c>
      <c r="AS93" s="15">
        <f t="shared" si="17"/>
        <v>0</v>
      </c>
      <c r="AT93" s="15">
        <f t="shared" si="17"/>
        <v>0</v>
      </c>
      <c r="AU93" s="15">
        <f t="shared" si="17"/>
        <v>136</v>
      </c>
      <c r="AV93" s="15">
        <f t="shared" si="17"/>
        <v>2041</v>
      </c>
      <c r="AW93" s="15">
        <f t="shared" si="17"/>
        <v>0</v>
      </c>
      <c r="AX93" s="15">
        <f t="shared" si="17"/>
        <v>0</v>
      </c>
      <c r="AY93" s="15"/>
      <c r="AZ93" s="15">
        <f>SUM(AZ90:AZ92)</f>
        <v>19251561</v>
      </c>
      <c r="BA93" s="12"/>
      <c r="BB93" s="25">
        <f>SUM(BB90:BB92)</f>
        <v>4426637</v>
      </c>
      <c r="BC93" s="25">
        <f>SUM(BC90:BC92)</f>
        <v>14824924</v>
      </c>
    </row>
    <row r="94" spans="1:55" ht="11.25" customHeight="1">
      <c r="A94" s="4"/>
      <c r="B94" s="4"/>
      <c r="C94" s="26"/>
      <c r="D94" s="26"/>
      <c r="F94" s="26"/>
      <c r="G94" s="26"/>
      <c r="I94" s="15"/>
      <c r="J94" s="15"/>
      <c r="K94" s="26"/>
      <c r="L94" s="26"/>
      <c r="N94" s="26"/>
      <c r="O94" s="26"/>
      <c r="S94" s="26"/>
      <c r="T94" s="26"/>
      <c r="U94" s="26"/>
      <c r="V94" s="26"/>
      <c r="W94" s="26"/>
      <c r="X94" s="26"/>
      <c r="Y94" s="26"/>
      <c r="AB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V94" s="26"/>
      <c r="AW94" s="26"/>
      <c r="AX94" s="26"/>
      <c r="AY94" s="26"/>
      <c r="AZ94" s="12"/>
      <c r="BA94" s="12"/>
      <c r="BB94" s="2"/>
      <c r="BC94" s="2"/>
    </row>
    <row r="95" spans="1:55" ht="11.25" customHeight="1" outlineLevel="1">
      <c r="A95" s="4" t="s">
        <v>107</v>
      </c>
      <c r="B95" s="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2"/>
      <c r="BA95" s="12"/>
      <c r="BB95" s="2"/>
      <c r="BC95" s="2"/>
    </row>
    <row r="96" spans="1:55" ht="11.25" customHeight="1" outlineLevel="1">
      <c r="A96" s="6" t="s">
        <v>108</v>
      </c>
      <c r="B96" s="6"/>
      <c r="C96" s="15">
        <v>7579</v>
      </c>
      <c r="D96" s="15">
        <v>7579</v>
      </c>
      <c r="E96" s="15">
        <v>56238</v>
      </c>
      <c r="F96" s="15">
        <v>41642</v>
      </c>
      <c r="G96" s="15">
        <v>0</v>
      </c>
      <c r="H96" s="12">
        <v>4628</v>
      </c>
      <c r="I96" s="15">
        <v>0</v>
      </c>
      <c r="J96" s="15">
        <v>0</v>
      </c>
      <c r="K96" s="15">
        <v>0</v>
      </c>
      <c r="L96" s="15">
        <v>21136</v>
      </c>
      <c r="M96" s="15">
        <v>0</v>
      </c>
      <c r="N96" s="15">
        <v>3784</v>
      </c>
      <c r="O96" s="15">
        <v>3815</v>
      </c>
      <c r="P96" s="15">
        <v>2552</v>
      </c>
      <c r="Q96" s="15">
        <v>1053</v>
      </c>
      <c r="R96" s="15">
        <v>96</v>
      </c>
      <c r="S96" s="15">
        <v>7700</v>
      </c>
      <c r="T96" s="15">
        <v>7696</v>
      </c>
      <c r="U96" s="15">
        <v>1275</v>
      </c>
      <c r="V96" s="15">
        <v>5568</v>
      </c>
      <c r="W96" s="15">
        <v>523</v>
      </c>
      <c r="X96" s="15">
        <v>0</v>
      </c>
      <c r="Y96" s="15">
        <v>1684</v>
      </c>
      <c r="Z96" s="15">
        <v>1802</v>
      </c>
      <c r="AA96" s="15">
        <v>1699</v>
      </c>
      <c r="AB96" s="15">
        <v>0</v>
      </c>
      <c r="AC96" s="15">
        <v>0</v>
      </c>
      <c r="AD96" s="15">
        <v>0</v>
      </c>
      <c r="AE96" s="15">
        <v>0</v>
      </c>
      <c r="AF96" s="15">
        <v>517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1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/>
      <c r="AZ96" s="12">
        <f>SUM(C96:AY96)</f>
        <v>178566</v>
      </c>
      <c r="BA96" s="12"/>
      <c r="BB96" s="25">
        <f>SUMIF($C$163:$AX$163,"já",C96:AX96)</f>
        <v>9263</v>
      </c>
      <c r="BC96" s="25">
        <f>SUMIF($C$163:$AX$163,"nei",C96:AX96)</f>
        <v>169303</v>
      </c>
    </row>
    <row r="97" spans="1:55" ht="11.25" customHeight="1" outlineLevel="1">
      <c r="A97" s="6" t="s">
        <v>109</v>
      </c>
      <c r="B97" s="6"/>
      <c r="C97" s="15">
        <v>1138434</v>
      </c>
      <c r="D97" s="15">
        <v>1567</v>
      </c>
      <c r="E97" s="15">
        <v>1529266</v>
      </c>
      <c r="F97" s="15">
        <v>987739</v>
      </c>
      <c r="G97" s="15">
        <v>0</v>
      </c>
      <c r="H97" s="15">
        <v>338604</v>
      </c>
      <c r="I97" s="15">
        <v>172980</v>
      </c>
      <c r="J97" s="15">
        <v>4755</v>
      </c>
      <c r="K97" s="15">
        <v>68260</v>
      </c>
      <c r="L97" s="15">
        <v>686302</v>
      </c>
      <c r="M97" s="15">
        <v>468438</v>
      </c>
      <c r="N97" s="15">
        <v>352807</v>
      </c>
      <c r="O97" s="15">
        <v>381913</v>
      </c>
      <c r="P97" s="15">
        <v>173546</v>
      </c>
      <c r="Q97" s="15">
        <v>121722</v>
      </c>
      <c r="R97" s="15">
        <v>129753</v>
      </c>
      <c r="S97" s="15">
        <v>302347</v>
      </c>
      <c r="T97" s="15">
        <v>81156</v>
      </c>
      <c r="U97" s="15">
        <v>55767</v>
      </c>
      <c r="V97" s="15">
        <v>169750</v>
      </c>
      <c r="W97" s="15">
        <v>15935</v>
      </c>
      <c r="X97" s="15">
        <v>1584</v>
      </c>
      <c r="Y97" s="15">
        <v>0</v>
      </c>
      <c r="Z97" s="15">
        <v>80418</v>
      </c>
      <c r="AA97" s="11">
        <v>30000</v>
      </c>
      <c r="AB97" s="15">
        <v>15927</v>
      </c>
      <c r="AC97" s="15">
        <v>192909</v>
      </c>
      <c r="AD97" s="15">
        <v>32968</v>
      </c>
      <c r="AE97" s="15">
        <v>21049</v>
      </c>
      <c r="AF97" s="15">
        <v>423392</v>
      </c>
      <c r="AG97" s="15">
        <v>1208</v>
      </c>
      <c r="AH97" s="15">
        <v>151</v>
      </c>
      <c r="AI97" s="15">
        <v>1682</v>
      </c>
      <c r="AJ97" s="15">
        <v>115</v>
      </c>
      <c r="AK97" s="15">
        <v>72125</v>
      </c>
      <c r="AL97" s="15">
        <v>1072</v>
      </c>
      <c r="AM97" s="15">
        <v>15279</v>
      </c>
      <c r="AN97" s="15">
        <v>1110</v>
      </c>
      <c r="AO97" s="15">
        <v>2622</v>
      </c>
      <c r="AP97" s="15">
        <v>70542</v>
      </c>
      <c r="AQ97" s="15">
        <v>346</v>
      </c>
      <c r="AR97" s="15">
        <v>102372</v>
      </c>
      <c r="AS97" s="15">
        <v>4690</v>
      </c>
      <c r="AT97" s="15">
        <v>48760</v>
      </c>
      <c r="AU97" s="15">
        <v>14385</v>
      </c>
      <c r="AV97" s="15">
        <v>11696</v>
      </c>
      <c r="AW97" s="15">
        <v>61880</v>
      </c>
      <c r="AX97" s="15">
        <v>13944</v>
      </c>
      <c r="AY97" s="15"/>
      <c r="AZ97" s="12">
        <f>SUM(C97:AY97)</f>
        <v>8403267</v>
      </c>
      <c r="BA97" s="12"/>
      <c r="BB97" s="25">
        <f>SUMIF($C$163:$AX$163,"já",C97:AX97)</f>
        <v>479221</v>
      </c>
      <c r="BC97" s="25">
        <f>SUMIF($C$163:$AX$163,"nei",C97:AX97)</f>
        <v>7924046</v>
      </c>
    </row>
    <row r="98" spans="1:55" ht="11.25" customHeight="1" outlineLevel="1">
      <c r="A98" s="12" t="s">
        <v>110</v>
      </c>
      <c r="B98" s="12"/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517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/>
      <c r="AZ98" s="12">
        <f>SUM(C98:AY98)</f>
        <v>517</v>
      </c>
      <c r="BA98" s="12"/>
      <c r="BB98" s="25">
        <f>SUMIF($C$163:$AX$163,"já",C98:AX98)</f>
        <v>0</v>
      </c>
      <c r="BC98" s="25">
        <f>SUMIF($C$163:$AX$163,"nei",C98:AX98)</f>
        <v>517</v>
      </c>
    </row>
    <row r="99" spans="1:55" ht="11.25" customHeight="1">
      <c r="A99" s="4" t="s">
        <v>111</v>
      </c>
      <c r="B99" s="4"/>
      <c r="C99" s="15">
        <f aca="true" t="shared" si="18" ref="C99:AQ99">SUM(C96:C98)</f>
        <v>1146013</v>
      </c>
      <c r="D99" s="15">
        <f t="shared" si="18"/>
        <v>9146</v>
      </c>
      <c r="E99" s="15">
        <f t="shared" si="18"/>
        <v>1585504</v>
      </c>
      <c r="F99" s="15">
        <f t="shared" si="18"/>
        <v>1029381</v>
      </c>
      <c r="G99" s="15">
        <f t="shared" si="18"/>
        <v>0</v>
      </c>
      <c r="H99" s="15">
        <f t="shared" si="18"/>
        <v>343232</v>
      </c>
      <c r="I99" s="15">
        <f t="shared" si="18"/>
        <v>172980</v>
      </c>
      <c r="J99" s="15">
        <f t="shared" si="18"/>
        <v>4755</v>
      </c>
      <c r="K99" s="15">
        <f t="shared" si="18"/>
        <v>68260</v>
      </c>
      <c r="L99" s="15">
        <f t="shared" si="18"/>
        <v>707438</v>
      </c>
      <c r="M99" s="15">
        <f t="shared" si="18"/>
        <v>468438</v>
      </c>
      <c r="N99" s="15">
        <f t="shared" si="18"/>
        <v>356591</v>
      </c>
      <c r="O99" s="15">
        <f t="shared" si="18"/>
        <v>385728</v>
      </c>
      <c r="P99" s="15">
        <f t="shared" si="18"/>
        <v>176098</v>
      </c>
      <c r="Q99" s="15">
        <f t="shared" si="18"/>
        <v>122775</v>
      </c>
      <c r="R99" s="15">
        <f t="shared" si="18"/>
        <v>129849</v>
      </c>
      <c r="S99" s="15">
        <f t="shared" si="18"/>
        <v>310047</v>
      </c>
      <c r="T99" s="15">
        <f t="shared" si="18"/>
        <v>88852</v>
      </c>
      <c r="U99" s="15">
        <f t="shared" si="18"/>
        <v>57042</v>
      </c>
      <c r="V99" s="15">
        <f t="shared" si="18"/>
        <v>175318</v>
      </c>
      <c r="W99" s="15">
        <f t="shared" si="18"/>
        <v>16458</v>
      </c>
      <c r="X99" s="15">
        <f t="shared" si="18"/>
        <v>1584</v>
      </c>
      <c r="Y99" s="15">
        <f t="shared" si="18"/>
        <v>1684</v>
      </c>
      <c r="Z99" s="15">
        <f t="shared" si="18"/>
        <v>82220</v>
      </c>
      <c r="AA99" s="15">
        <f t="shared" si="18"/>
        <v>31699</v>
      </c>
      <c r="AB99" s="15">
        <f t="shared" si="18"/>
        <v>15927</v>
      </c>
      <c r="AC99" s="15">
        <f t="shared" si="18"/>
        <v>192909</v>
      </c>
      <c r="AD99" s="15">
        <f t="shared" si="18"/>
        <v>32968</v>
      </c>
      <c r="AE99" s="15">
        <f t="shared" si="18"/>
        <v>21049</v>
      </c>
      <c r="AF99" s="15">
        <f t="shared" si="18"/>
        <v>423909</v>
      </c>
      <c r="AG99" s="15">
        <f t="shared" si="18"/>
        <v>1208</v>
      </c>
      <c r="AH99" s="15">
        <f t="shared" si="18"/>
        <v>151</v>
      </c>
      <c r="AI99" s="15">
        <f t="shared" si="18"/>
        <v>1682</v>
      </c>
      <c r="AJ99" s="15">
        <f t="shared" si="18"/>
        <v>632</v>
      </c>
      <c r="AK99" s="15">
        <f t="shared" si="18"/>
        <v>72125</v>
      </c>
      <c r="AL99" s="15">
        <f t="shared" si="18"/>
        <v>1072</v>
      </c>
      <c r="AM99" s="15">
        <f t="shared" si="18"/>
        <v>15279</v>
      </c>
      <c r="AN99" s="15">
        <f t="shared" si="18"/>
        <v>1110</v>
      </c>
      <c r="AO99" s="15">
        <f t="shared" si="18"/>
        <v>2622</v>
      </c>
      <c r="AP99" s="15">
        <f t="shared" si="18"/>
        <v>70542</v>
      </c>
      <c r="AQ99" s="15">
        <f t="shared" si="18"/>
        <v>346</v>
      </c>
      <c r="AR99" s="15">
        <f>SUM(AR97:AR98)</f>
        <v>102372</v>
      </c>
      <c r="AS99" s="15">
        <f aca="true" t="shared" si="19" ref="AS99:AX99">SUM(AS96:AS98)</f>
        <v>4690</v>
      </c>
      <c r="AT99" s="15">
        <f t="shared" si="19"/>
        <v>48760</v>
      </c>
      <c r="AU99" s="15">
        <f t="shared" si="19"/>
        <v>14385</v>
      </c>
      <c r="AV99" s="15">
        <f t="shared" si="19"/>
        <v>11696</v>
      </c>
      <c r="AW99" s="15">
        <f t="shared" si="19"/>
        <v>61880</v>
      </c>
      <c r="AX99" s="15">
        <f t="shared" si="19"/>
        <v>13944</v>
      </c>
      <c r="AY99" s="15"/>
      <c r="AZ99" s="15">
        <f>SUM(AZ96:AZ98)</f>
        <v>8582350</v>
      </c>
      <c r="BA99" s="15"/>
      <c r="BB99" s="25">
        <f>SUM(BB96:BB98)</f>
        <v>488484</v>
      </c>
      <c r="BC99" s="25">
        <f>SUM(BC96:BC98)</f>
        <v>8093866</v>
      </c>
    </row>
    <row r="100" spans="1:55" ht="11.25" customHeight="1">
      <c r="A100" s="4"/>
      <c r="B100" s="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2"/>
      <c r="BA100" s="12"/>
      <c r="BB100" s="2"/>
      <c r="BC100" s="2"/>
    </row>
    <row r="101" spans="1:55" ht="11.25" customHeight="1">
      <c r="A101" s="14" t="s">
        <v>112</v>
      </c>
      <c r="B101" s="14"/>
      <c r="C101" s="26">
        <v>0</v>
      </c>
      <c r="D101" s="26">
        <v>0</v>
      </c>
      <c r="E101" s="11">
        <v>0</v>
      </c>
      <c r="F101" s="26">
        <v>0</v>
      </c>
      <c r="G101" s="26">
        <v>0</v>
      </c>
      <c r="H101" s="11">
        <v>0</v>
      </c>
      <c r="I101" s="15">
        <v>0</v>
      </c>
      <c r="J101" s="15">
        <v>0</v>
      </c>
      <c r="K101" s="26">
        <v>0</v>
      </c>
      <c r="L101" s="26">
        <v>0</v>
      </c>
      <c r="M101" s="11">
        <v>0</v>
      </c>
      <c r="N101" s="26">
        <v>0</v>
      </c>
      <c r="O101" s="26">
        <v>0</v>
      </c>
      <c r="P101" s="11">
        <v>0</v>
      </c>
      <c r="Q101" s="11">
        <v>0</v>
      </c>
      <c r="R101" s="11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11">
        <v>0</v>
      </c>
      <c r="AA101" s="11">
        <v>0</v>
      </c>
      <c r="AB101" s="26">
        <v>0</v>
      </c>
      <c r="AC101" s="11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11">
        <v>0</v>
      </c>
      <c r="AV101" s="26">
        <v>0</v>
      </c>
      <c r="AW101" s="26">
        <v>0</v>
      </c>
      <c r="AX101" s="26">
        <v>0</v>
      </c>
      <c r="AY101" s="26"/>
      <c r="AZ101" s="12">
        <f>SUM(C101:AY101)</f>
        <v>0</v>
      </c>
      <c r="BA101" s="12"/>
      <c r="BB101" s="25">
        <f>SUMIF($C$163:$AX$163,"já",C101:AX101)</f>
        <v>0</v>
      </c>
      <c r="BC101" s="25">
        <f>SUMIF($C$163:$AX$163,"nei",C101:AX101)</f>
        <v>0</v>
      </c>
    </row>
    <row r="102" spans="1:55" ht="11.25" customHeight="1">
      <c r="A102" s="12"/>
      <c r="B102" s="1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2"/>
      <c r="BA102" s="14"/>
      <c r="BB102" s="2"/>
      <c r="BC102" s="2"/>
    </row>
    <row r="103" spans="1:55" s="37" customFormat="1" ht="11.25" customHeight="1">
      <c r="A103" s="8" t="s">
        <v>113</v>
      </c>
      <c r="B103" s="8"/>
      <c r="C103" s="15">
        <f aca="true" t="shared" si="20" ref="C103:AX103">+C87+C93+C99+C101</f>
        <v>91784105</v>
      </c>
      <c r="D103" s="15">
        <f t="shared" si="20"/>
        <v>186957230</v>
      </c>
      <c r="E103" s="15">
        <f t="shared" si="20"/>
        <v>235020727</v>
      </c>
      <c r="F103" s="15">
        <f t="shared" si="20"/>
        <v>216080811</v>
      </c>
      <c r="G103" s="15">
        <f t="shared" si="20"/>
        <v>6843429</v>
      </c>
      <c r="H103" s="15">
        <f t="shared" si="20"/>
        <v>85396972</v>
      </c>
      <c r="I103" s="15">
        <f t="shared" si="20"/>
        <v>22830718</v>
      </c>
      <c r="J103" s="15">
        <f t="shared" si="20"/>
        <v>5739274</v>
      </c>
      <c r="K103" s="15">
        <f t="shared" si="20"/>
        <v>7717980</v>
      </c>
      <c r="L103" s="15">
        <f t="shared" si="20"/>
        <v>71929667</v>
      </c>
      <c r="M103" s="15">
        <f t="shared" si="20"/>
        <v>11594418</v>
      </c>
      <c r="N103" s="15">
        <f t="shared" si="20"/>
        <v>55126217</v>
      </c>
      <c r="O103" s="15">
        <f t="shared" si="20"/>
        <v>50614033</v>
      </c>
      <c r="P103" s="15">
        <f t="shared" si="20"/>
        <v>49484781</v>
      </c>
      <c r="Q103" s="15">
        <f t="shared" si="20"/>
        <v>25013367</v>
      </c>
      <c r="R103" s="15">
        <f t="shared" si="20"/>
        <v>10108499</v>
      </c>
      <c r="S103" s="15">
        <f t="shared" si="20"/>
        <v>27425648</v>
      </c>
      <c r="T103" s="15">
        <f t="shared" si="20"/>
        <v>25794255</v>
      </c>
      <c r="U103" s="15">
        <f t="shared" si="20"/>
        <v>26236169</v>
      </c>
      <c r="V103" s="15">
        <f t="shared" si="20"/>
        <v>20246258</v>
      </c>
      <c r="W103" s="15">
        <f t="shared" si="20"/>
        <v>1900635</v>
      </c>
      <c r="X103" s="15">
        <f t="shared" si="20"/>
        <v>2384071</v>
      </c>
      <c r="Y103" s="15">
        <f t="shared" si="20"/>
        <v>22367837</v>
      </c>
      <c r="Z103" s="15">
        <f t="shared" si="20"/>
        <v>21446178</v>
      </c>
      <c r="AA103" s="15">
        <f t="shared" si="20"/>
        <v>20946933</v>
      </c>
      <c r="AB103" s="15">
        <f t="shared" si="20"/>
        <v>14131890</v>
      </c>
      <c r="AC103" s="15">
        <f t="shared" si="20"/>
        <v>13262544</v>
      </c>
      <c r="AD103" s="15">
        <f t="shared" si="20"/>
        <v>11972512</v>
      </c>
      <c r="AE103" s="15">
        <f t="shared" si="20"/>
        <v>7077174</v>
      </c>
      <c r="AF103" s="15">
        <f t="shared" si="20"/>
        <v>3883469</v>
      </c>
      <c r="AG103" s="15">
        <f t="shared" si="20"/>
        <v>3643742</v>
      </c>
      <c r="AH103" s="15">
        <f t="shared" si="20"/>
        <v>184800</v>
      </c>
      <c r="AI103" s="15">
        <f t="shared" si="20"/>
        <v>2889366</v>
      </c>
      <c r="AJ103" s="15">
        <f t="shared" si="20"/>
        <v>323153</v>
      </c>
      <c r="AK103" s="15">
        <f t="shared" si="20"/>
        <v>2432593</v>
      </c>
      <c r="AL103" s="15">
        <f t="shared" si="20"/>
        <v>2382635</v>
      </c>
      <c r="AM103" s="15">
        <f t="shared" si="20"/>
        <v>2186980</v>
      </c>
      <c r="AN103" s="15">
        <f t="shared" si="20"/>
        <v>1769815</v>
      </c>
      <c r="AO103" s="15">
        <f t="shared" si="20"/>
        <v>1210212</v>
      </c>
      <c r="AP103" s="15">
        <f t="shared" si="20"/>
        <v>803064</v>
      </c>
      <c r="AQ103" s="15">
        <f t="shared" si="20"/>
        <v>778769</v>
      </c>
      <c r="AR103" s="15">
        <f t="shared" si="20"/>
        <v>723893</v>
      </c>
      <c r="AS103" s="15">
        <f t="shared" si="20"/>
        <v>547160</v>
      </c>
      <c r="AT103" s="15">
        <f t="shared" si="20"/>
        <v>470205</v>
      </c>
      <c r="AU103" s="15">
        <f t="shared" si="20"/>
        <v>455414</v>
      </c>
      <c r="AV103" s="15">
        <f t="shared" si="20"/>
        <v>448770</v>
      </c>
      <c r="AW103" s="15">
        <f t="shared" si="20"/>
        <v>64524</v>
      </c>
      <c r="AX103" s="15">
        <f t="shared" si="20"/>
        <v>42744</v>
      </c>
      <c r="AY103" s="15"/>
      <c r="AZ103" s="15">
        <f>+AZ87+AZ93+AZ99+AZ101</f>
        <v>1372675640</v>
      </c>
      <c r="BA103" s="15"/>
      <c r="BB103" s="25">
        <f>+BB87+BB93+BB99+BB101</f>
        <v>239876521</v>
      </c>
      <c r="BC103" s="25">
        <f>+BC87+BC93+BC99+BC101</f>
        <v>1132799119</v>
      </c>
    </row>
    <row r="104" spans="1:55" ht="7.5" customHeight="1">
      <c r="A104" s="6"/>
      <c r="B104" s="6"/>
      <c r="C104" s="26"/>
      <c r="D104" s="26"/>
      <c r="F104" s="26"/>
      <c r="G104" s="26"/>
      <c r="I104" s="15"/>
      <c r="J104" s="15"/>
      <c r="K104" s="26"/>
      <c r="L104" s="26"/>
      <c r="N104" s="26"/>
      <c r="O104" s="26"/>
      <c r="S104" s="26"/>
      <c r="T104" s="26"/>
      <c r="U104" s="26"/>
      <c r="V104" s="26"/>
      <c r="W104" s="26"/>
      <c r="X104" s="26"/>
      <c r="Y104" s="26"/>
      <c r="AB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V104" s="26"/>
      <c r="AW104" s="26"/>
      <c r="AX104" s="26"/>
      <c r="AY104" s="26"/>
      <c r="AZ104" s="12"/>
      <c r="BA104" s="12"/>
      <c r="BB104" s="2"/>
      <c r="BC104" s="2"/>
    </row>
    <row r="105" spans="1:55" ht="11.25" customHeight="1">
      <c r="A105" s="20" t="s">
        <v>114</v>
      </c>
      <c r="B105" s="20"/>
      <c r="C105" s="12"/>
      <c r="D105" s="12"/>
      <c r="E105" s="12"/>
      <c r="F105" s="12"/>
      <c r="G105" s="12"/>
      <c r="H105" s="12"/>
      <c r="I105" s="15"/>
      <c r="J105" s="1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2"/>
      <c r="BC105" s="2"/>
    </row>
    <row r="106" spans="1:55" ht="11.25" customHeight="1">
      <c r="A106" s="4" t="s">
        <v>115</v>
      </c>
      <c r="B106" s="4"/>
      <c r="C106" s="26">
        <v>14194</v>
      </c>
      <c r="D106" s="26">
        <v>48007</v>
      </c>
      <c r="E106" s="11">
        <v>0</v>
      </c>
      <c r="F106" s="26">
        <v>0</v>
      </c>
      <c r="G106" s="26">
        <v>0</v>
      </c>
      <c r="H106" s="11">
        <v>0</v>
      </c>
      <c r="I106" s="15">
        <v>0</v>
      </c>
      <c r="J106" s="15">
        <v>0</v>
      </c>
      <c r="K106" s="26">
        <v>0</v>
      </c>
      <c r="L106" s="26">
        <v>0</v>
      </c>
      <c r="M106" s="11">
        <v>0</v>
      </c>
      <c r="N106" s="26">
        <v>0</v>
      </c>
      <c r="O106" s="26">
        <v>0</v>
      </c>
      <c r="P106" s="11">
        <v>0</v>
      </c>
      <c r="Q106" s="11">
        <v>0</v>
      </c>
      <c r="R106" s="11">
        <v>0</v>
      </c>
      <c r="S106" s="26">
        <v>0</v>
      </c>
      <c r="T106" s="26">
        <v>13919</v>
      </c>
      <c r="U106" s="26">
        <v>0</v>
      </c>
      <c r="V106" s="26">
        <v>0</v>
      </c>
      <c r="W106" s="26">
        <v>0</v>
      </c>
      <c r="X106" s="26">
        <v>0</v>
      </c>
      <c r="Y106" s="26">
        <v>5638</v>
      </c>
      <c r="Z106" s="11">
        <v>0</v>
      </c>
      <c r="AA106" s="11">
        <v>0</v>
      </c>
      <c r="AB106" s="26">
        <v>0</v>
      </c>
      <c r="AC106" s="11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12">
        <v>0</v>
      </c>
      <c r="AN106" s="26">
        <v>0</v>
      </c>
      <c r="AO106" s="26">
        <v>0</v>
      </c>
      <c r="AP106" s="12">
        <v>0</v>
      </c>
      <c r="AQ106" s="26">
        <v>0</v>
      </c>
      <c r="AR106" s="26">
        <v>0</v>
      </c>
      <c r="AS106" s="26">
        <v>0</v>
      </c>
      <c r="AT106" s="26">
        <v>0</v>
      </c>
      <c r="AU106" s="11">
        <v>0</v>
      </c>
      <c r="AV106" s="26">
        <v>0</v>
      </c>
      <c r="AW106" s="26">
        <v>0</v>
      </c>
      <c r="AX106" s="26">
        <v>0</v>
      </c>
      <c r="AY106" s="26"/>
      <c r="AZ106" s="12">
        <f>SUM(C106:AY106)</f>
        <v>81758</v>
      </c>
      <c r="BA106" s="12"/>
      <c r="BB106" s="25">
        <f>SUMIF($C$163:$AX$163,"já",C106:AX106)</f>
        <v>53645</v>
      </c>
      <c r="BC106" s="25">
        <f>SUMIF($C$163:$AX$163,"nei",C106:AX106)</f>
        <v>28113</v>
      </c>
    </row>
    <row r="107" spans="1:55" ht="11.25" customHeight="1">
      <c r="A107" s="4"/>
      <c r="B107" s="4"/>
      <c r="C107" s="26"/>
      <c r="D107" s="26"/>
      <c r="F107" s="26"/>
      <c r="G107" s="26"/>
      <c r="I107" s="15"/>
      <c r="J107" s="15"/>
      <c r="K107" s="26"/>
      <c r="L107" s="26"/>
      <c r="N107" s="26"/>
      <c r="O107" s="26"/>
      <c r="S107" s="26"/>
      <c r="T107" s="26"/>
      <c r="U107" s="26"/>
      <c r="V107" s="26"/>
      <c r="W107" s="26"/>
      <c r="X107" s="26"/>
      <c r="Y107" s="26"/>
      <c r="AB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V107" s="26"/>
      <c r="AW107" s="26"/>
      <c r="AX107" s="26"/>
      <c r="AY107" s="26"/>
      <c r="AZ107" s="12"/>
      <c r="BA107" s="12"/>
      <c r="BB107" s="2"/>
      <c r="BC107" s="2"/>
    </row>
    <row r="108" spans="1:55" ht="11.25" customHeight="1" outlineLevel="1">
      <c r="A108" s="4" t="s">
        <v>116</v>
      </c>
      <c r="B108" s="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26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6"/>
      <c r="AQ108" s="15"/>
      <c r="AR108" s="26"/>
      <c r="AS108" s="15"/>
      <c r="AT108" s="15"/>
      <c r="AU108" s="12"/>
      <c r="AV108" s="15"/>
      <c r="AW108" s="15"/>
      <c r="AX108" s="15"/>
      <c r="AY108" s="15"/>
      <c r="AZ108" s="12"/>
      <c r="BA108" s="12"/>
      <c r="BB108" s="2"/>
      <c r="BC108" s="2"/>
    </row>
    <row r="109" spans="1:55" ht="11.25" customHeight="1" outlineLevel="1">
      <c r="A109" s="6" t="s">
        <v>117</v>
      </c>
      <c r="B109" s="6"/>
      <c r="C109" s="15">
        <v>0</v>
      </c>
      <c r="D109" s="15">
        <v>0</v>
      </c>
      <c r="E109" s="15">
        <v>0</v>
      </c>
      <c r="F109" s="15">
        <v>13370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26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26">
        <v>0</v>
      </c>
      <c r="AQ109" s="15">
        <v>0</v>
      </c>
      <c r="AR109" s="26">
        <v>0</v>
      </c>
      <c r="AS109" s="15">
        <v>0</v>
      </c>
      <c r="AT109" s="15">
        <v>0</v>
      </c>
      <c r="AU109" s="12">
        <v>0</v>
      </c>
      <c r="AV109" s="15">
        <v>0</v>
      </c>
      <c r="AW109" s="15">
        <v>0</v>
      </c>
      <c r="AX109" s="15">
        <v>0</v>
      </c>
      <c r="AY109" s="15"/>
      <c r="AZ109" s="12">
        <f>SUM(C109:AY109)</f>
        <v>13370</v>
      </c>
      <c r="BA109" s="12"/>
      <c r="BB109" s="25">
        <f>SUMIF($C$163:$AX$163,"já",C109:AX109)</f>
        <v>0</v>
      </c>
      <c r="BC109" s="25">
        <f>SUMIF($C$163:$AX$163,"nei",C109:AX109)</f>
        <v>13370</v>
      </c>
    </row>
    <row r="110" spans="1:55" ht="11.25" customHeight="1" outlineLevel="1">
      <c r="A110" s="6" t="s">
        <v>118</v>
      </c>
      <c r="B110" s="6"/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718409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6801</v>
      </c>
      <c r="Y110" s="15">
        <v>42469</v>
      </c>
      <c r="Z110" s="15">
        <v>0</v>
      </c>
      <c r="AA110" s="15">
        <v>0</v>
      </c>
      <c r="AB110" s="15">
        <v>0</v>
      </c>
      <c r="AC110" s="15">
        <v>0</v>
      </c>
      <c r="AD110" s="15">
        <v>79941</v>
      </c>
      <c r="AE110" s="26">
        <v>13174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26">
        <v>0</v>
      </c>
      <c r="AQ110" s="15">
        <v>0</v>
      </c>
      <c r="AR110" s="26">
        <v>0</v>
      </c>
      <c r="AS110" s="15">
        <v>0</v>
      </c>
      <c r="AT110" s="15">
        <v>0</v>
      </c>
      <c r="AU110" s="12">
        <v>0</v>
      </c>
      <c r="AV110" s="15">
        <v>0</v>
      </c>
      <c r="AW110" s="15">
        <v>0</v>
      </c>
      <c r="AX110" s="15">
        <v>0</v>
      </c>
      <c r="AY110" s="15"/>
      <c r="AZ110" s="12">
        <f>SUM(C110:AY110)</f>
        <v>860794</v>
      </c>
      <c r="BA110" s="12"/>
      <c r="BB110" s="25">
        <f>SUMIF($C$163:$AX$163,"já",C110:AX110)</f>
        <v>55643</v>
      </c>
      <c r="BC110" s="25">
        <f>SUMIF($C$163:$AX$163,"nei",C110:AX110)</f>
        <v>805151</v>
      </c>
    </row>
    <row r="111" spans="1:55" ht="11.25" customHeight="1" outlineLevel="1">
      <c r="A111" s="12" t="s">
        <v>119</v>
      </c>
      <c r="B111" s="12"/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2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2">
        <v>0</v>
      </c>
      <c r="AV111" s="15">
        <v>0</v>
      </c>
      <c r="AW111" s="15">
        <v>0</v>
      </c>
      <c r="AX111" s="15">
        <v>0</v>
      </c>
      <c r="AY111" s="15"/>
      <c r="AZ111" s="12">
        <f>SUM(C111:AY111)</f>
        <v>0</v>
      </c>
      <c r="BA111" s="12"/>
      <c r="BB111" s="25">
        <f>SUMIF($C$163:$AX$163,"já",C111:AX111)</f>
        <v>0</v>
      </c>
      <c r="BC111" s="25">
        <f>SUMIF($C$163:$AX$163,"nei",C111:AX111)</f>
        <v>0</v>
      </c>
    </row>
    <row r="112" spans="1:55" ht="11.25" customHeight="1" outlineLevel="1">
      <c r="A112" s="12" t="s">
        <v>120</v>
      </c>
      <c r="B112" s="12"/>
      <c r="C112" s="15">
        <v>585309</v>
      </c>
      <c r="D112" s="15">
        <v>1508320</v>
      </c>
      <c r="E112" s="15">
        <v>250668</v>
      </c>
      <c r="F112" s="15">
        <v>2642488</v>
      </c>
      <c r="G112" s="15">
        <v>60220</v>
      </c>
      <c r="H112" s="15">
        <v>6603913</v>
      </c>
      <c r="I112" s="15">
        <v>26872</v>
      </c>
      <c r="J112" s="15">
        <v>20377</v>
      </c>
      <c r="K112" s="15">
        <v>7141</v>
      </c>
      <c r="L112" s="15">
        <v>404117</v>
      </c>
      <c r="M112" s="15">
        <v>102781</v>
      </c>
      <c r="N112" s="15">
        <v>52443</v>
      </c>
      <c r="O112" s="15">
        <v>19683</v>
      </c>
      <c r="P112" s="15">
        <v>952119</v>
      </c>
      <c r="Q112" s="15">
        <v>274287</v>
      </c>
      <c r="R112" s="15">
        <v>27790</v>
      </c>
      <c r="S112" s="15">
        <v>54141</v>
      </c>
      <c r="T112" s="15">
        <v>0</v>
      </c>
      <c r="U112" s="15">
        <v>590955</v>
      </c>
      <c r="V112" s="15">
        <v>4325</v>
      </c>
      <c r="W112" s="15">
        <v>406</v>
      </c>
      <c r="X112" s="15">
        <v>7906</v>
      </c>
      <c r="Y112" s="15">
        <v>171924</v>
      </c>
      <c r="Z112" s="15">
        <v>2800</v>
      </c>
      <c r="AA112" s="15">
        <v>41565</v>
      </c>
      <c r="AB112" s="15">
        <v>43371</v>
      </c>
      <c r="AC112" s="15">
        <v>83166</v>
      </c>
      <c r="AD112" s="15">
        <v>26815</v>
      </c>
      <c r="AE112" s="15">
        <v>0</v>
      </c>
      <c r="AF112" s="15">
        <v>1432</v>
      </c>
      <c r="AG112" s="15">
        <v>12939</v>
      </c>
      <c r="AH112" s="15">
        <v>1460</v>
      </c>
      <c r="AI112" s="15">
        <v>3203</v>
      </c>
      <c r="AJ112" s="15">
        <v>180</v>
      </c>
      <c r="AK112" s="15">
        <v>40476</v>
      </c>
      <c r="AL112" s="15">
        <v>4397</v>
      </c>
      <c r="AM112" s="15">
        <v>0</v>
      </c>
      <c r="AN112" s="15">
        <v>3515</v>
      </c>
      <c r="AO112" s="15">
        <v>85388</v>
      </c>
      <c r="AP112" s="15">
        <v>2199</v>
      </c>
      <c r="AQ112" s="15">
        <v>1586</v>
      </c>
      <c r="AR112" s="15">
        <v>30614</v>
      </c>
      <c r="AS112" s="15">
        <v>3346</v>
      </c>
      <c r="AT112" s="15">
        <v>0</v>
      </c>
      <c r="AU112" s="15">
        <v>3985</v>
      </c>
      <c r="AV112" s="15">
        <v>4905</v>
      </c>
      <c r="AW112" s="15">
        <v>0</v>
      </c>
      <c r="AX112" s="15">
        <v>15273</v>
      </c>
      <c r="AY112" s="15"/>
      <c r="AZ112" s="12">
        <f>SUM(C112:AY112)</f>
        <v>14780800</v>
      </c>
      <c r="BA112" s="12"/>
      <c r="BB112" s="25">
        <f>SUMIF($C$163:$AX$163,"já",C112:AX112)</f>
        <v>1921493</v>
      </c>
      <c r="BC112" s="25">
        <f>SUMIF($C$163:$AX$163,"nei",C112:AX112)</f>
        <v>12859307</v>
      </c>
    </row>
    <row r="113" spans="1:55" ht="11.25" customHeight="1">
      <c r="A113" s="4" t="s">
        <v>121</v>
      </c>
      <c r="B113" s="4"/>
      <c r="C113" s="15">
        <f aca="true" t="shared" si="21" ref="C113:AX113">SUM(C109:C112)</f>
        <v>585309</v>
      </c>
      <c r="D113" s="15">
        <f t="shared" si="21"/>
        <v>1508320</v>
      </c>
      <c r="E113" s="15">
        <f t="shared" si="21"/>
        <v>250668</v>
      </c>
      <c r="F113" s="15">
        <f t="shared" si="21"/>
        <v>2655858</v>
      </c>
      <c r="G113" s="15">
        <f t="shared" si="21"/>
        <v>60220</v>
      </c>
      <c r="H113" s="15">
        <f t="shared" si="21"/>
        <v>6603913</v>
      </c>
      <c r="I113" s="15">
        <f t="shared" si="21"/>
        <v>26872</v>
      </c>
      <c r="J113" s="15">
        <f t="shared" si="21"/>
        <v>20377</v>
      </c>
      <c r="K113" s="15">
        <f t="shared" si="21"/>
        <v>7141</v>
      </c>
      <c r="L113" s="15">
        <f t="shared" si="21"/>
        <v>404117</v>
      </c>
      <c r="M113" s="15">
        <f t="shared" si="21"/>
        <v>102781</v>
      </c>
      <c r="N113" s="15">
        <f t="shared" si="21"/>
        <v>770852</v>
      </c>
      <c r="O113" s="15">
        <f t="shared" si="21"/>
        <v>19683</v>
      </c>
      <c r="P113" s="15">
        <f t="shared" si="21"/>
        <v>952119</v>
      </c>
      <c r="Q113" s="15">
        <f t="shared" si="21"/>
        <v>274287</v>
      </c>
      <c r="R113" s="15">
        <f t="shared" si="21"/>
        <v>27790</v>
      </c>
      <c r="S113" s="15">
        <f t="shared" si="21"/>
        <v>54141</v>
      </c>
      <c r="T113" s="15">
        <f t="shared" si="21"/>
        <v>0</v>
      </c>
      <c r="U113" s="15">
        <f t="shared" si="21"/>
        <v>590955</v>
      </c>
      <c r="V113" s="15">
        <f t="shared" si="21"/>
        <v>4325</v>
      </c>
      <c r="W113" s="15">
        <f t="shared" si="21"/>
        <v>406</v>
      </c>
      <c r="X113" s="15">
        <f t="shared" si="21"/>
        <v>14707</v>
      </c>
      <c r="Y113" s="15">
        <f t="shared" si="21"/>
        <v>214393</v>
      </c>
      <c r="Z113" s="15">
        <f t="shared" si="21"/>
        <v>2800</v>
      </c>
      <c r="AA113" s="15">
        <f t="shared" si="21"/>
        <v>41565</v>
      </c>
      <c r="AB113" s="15">
        <f t="shared" si="21"/>
        <v>43371</v>
      </c>
      <c r="AC113" s="15">
        <f t="shared" si="21"/>
        <v>83166</v>
      </c>
      <c r="AD113" s="15">
        <f t="shared" si="21"/>
        <v>106756</v>
      </c>
      <c r="AE113" s="15">
        <f t="shared" si="21"/>
        <v>13174</v>
      </c>
      <c r="AF113" s="15">
        <f t="shared" si="21"/>
        <v>1432</v>
      </c>
      <c r="AG113" s="15">
        <f t="shared" si="21"/>
        <v>12939</v>
      </c>
      <c r="AH113" s="15">
        <f t="shared" si="21"/>
        <v>1460</v>
      </c>
      <c r="AI113" s="15">
        <f t="shared" si="21"/>
        <v>3203</v>
      </c>
      <c r="AJ113" s="15">
        <f t="shared" si="21"/>
        <v>180</v>
      </c>
      <c r="AK113" s="15">
        <f t="shared" si="21"/>
        <v>40476</v>
      </c>
      <c r="AL113" s="15">
        <f t="shared" si="21"/>
        <v>4397</v>
      </c>
      <c r="AM113" s="15">
        <f t="shared" si="21"/>
        <v>0</v>
      </c>
      <c r="AN113" s="15">
        <f t="shared" si="21"/>
        <v>3515</v>
      </c>
      <c r="AO113" s="15">
        <f t="shared" si="21"/>
        <v>85388</v>
      </c>
      <c r="AP113" s="15">
        <f t="shared" si="21"/>
        <v>2199</v>
      </c>
      <c r="AQ113" s="15">
        <f t="shared" si="21"/>
        <v>1586</v>
      </c>
      <c r="AR113" s="15">
        <f t="shared" si="21"/>
        <v>30614</v>
      </c>
      <c r="AS113" s="15">
        <f t="shared" si="21"/>
        <v>3346</v>
      </c>
      <c r="AT113" s="15">
        <f t="shared" si="21"/>
        <v>0</v>
      </c>
      <c r="AU113" s="15">
        <f t="shared" si="21"/>
        <v>3985</v>
      </c>
      <c r="AV113" s="15">
        <f t="shared" si="21"/>
        <v>4905</v>
      </c>
      <c r="AW113" s="15">
        <f t="shared" si="21"/>
        <v>0</v>
      </c>
      <c r="AX113" s="15">
        <f t="shared" si="21"/>
        <v>15273</v>
      </c>
      <c r="AY113" s="15"/>
      <c r="AZ113" s="15">
        <f>SUM(AZ109:AZ112)</f>
        <v>15654964</v>
      </c>
      <c r="BA113" s="15"/>
      <c r="BB113" s="25">
        <f>SUM(BB109:BB112)</f>
        <v>1977136</v>
      </c>
      <c r="BC113" s="25">
        <f>SUM(BC109:BC112)</f>
        <v>13677828</v>
      </c>
    </row>
    <row r="114" spans="1:55" ht="11.25" customHeight="1">
      <c r="A114" s="4"/>
      <c r="B114" s="4"/>
      <c r="C114" s="12"/>
      <c r="D114" s="12"/>
      <c r="E114" s="12"/>
      <c r="F114" s="12"/>
      <c r="G114" s="12"/>
      <c r="H114" s="12"/>
      <c r="I114" s="15"/>
      <c r="J114" s="15"/>
      <c r="K114" s="12"/>
      <c r="L114" s="12"/>
      <c r="M114" s="12"/>
      <c r="N114" s="12"/>
      <c r="O114" s="12"/>
      <c r="P114" s="15"/>
      <c r="Q114" s="12"/>
      <c r="R114" s="12"/>
      <c r="S114" s="12"/>
      <c r="T114" s="12"/>
      <c r="U114" s="12"/>
      <c r="V114" s="12"/>
      <c r="W114" s="12"/>
      <c r="X114" s="12"/>
      <c r="Y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5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2"/>
      <c r="BC114" s="2"/>
    </row>
    <row r="115" spans="1:55" ht="11.25" customHeight="1">
      <c r="A115" s="4" t="s">
        <v>122</v>
      </c>
      <c r="B115" s="4"/>
      <c r="C115" s="26">
        <v>0</v>
      </c>
      <c r="D115" s="26">
        <v>0</v>
      </c>
      <c r="E115" s="11">
        <v>0</v>
      </c>
      <c r="F115" s="26">
        <v>0</v>
      </c>
      <c r="G115" s="26">
        <v>0</v>
      </c>
      <c r="H115" s="11">
        <v>18688</v>
      </c>
      <c r="I115" s="15">
        <v>0</v>
      </c>
      <c r="J115" s="15">
        <v>0</v>
      </c>
      <c r="K115" s="26">
        <v>0</v>
      </c>
      <c r="L115" s="26">
        <v>0</v>
      </c>
      <c r="M115" s="11">
        <v>0</v>
      </c>
      <c r="N115" s="26">
        <v>0</v>
      </c>
      <c r="O115" s="26">
        <v>0</v>
      </c>
      <c r="P115" s="15">
        <v>0</v>
      </c>
      <c r="Q115" s="11">
        <v>0</v>
      </c>
      <c r="R115" s="11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14">
        <v>0</v>
      </c>
      <c r="AA115" s="11">
        <v>0</v>
      </c>
      <c r="AB115" s="26">
        <v>530</v>
      </c>
      <c r="AC115" s="11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6199</v>
      </c>
      <c r="AT115" s="26">
        <v>0</v>
      </c>
      <c r="AU115" s="11">
        <v>0</v>
      </c>
      <c r="AV115" s="26">
        <v>0</v>
      </c>
      <c r="AW115" s="26">
        <v>0</v>
      </c>
      <c r="AX115" s="26">
        <v>0</v>
      </c>
      <c r="AY115" s="26"/>
      <c r="AZ115" s="12">
        <f>SUM(C115:AY115)</f>
        <v>25417</v>
      </c>
      <c r="BA115" s="12"/>
      <c r="BB115" s="25">
        <f>SUMIF($C$163:$AX$163,"já",C115:AX115)</f>
        <v>0</v>
      </c>
      <c r="BC115" s="25">
        <f>SUMIF($C$163:$AX$163,"nei",C115:AX115)</f>
        <v>25417</v>
      </c>
    </row>
    <row r="116" spans="1:55" ht="11.25" customHeight="1">
      <c r="A116" s="14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2"/>
      <c r="BA116" s="14"/>
      <c r="BB116" s="2"/>
      <c r="BC116" s="2"/>
    </row>
    <row r="117" spans="1:55" s="37" customFormat="1" ht="11.25" customHeight="1">
      <c r="A117" s="8" t="s">
        <v>123</v>
      </c>
      <c r="B117" s="8"/>
      <c r="C117" s="15">
        <f aca="true" t="shared" si="22" ref="C117:AX117">+C106+C113+C115</f>
        <v>599503</v>
      </c>
      <c r="D117" s="15">
        <f t="shared" si="22"/>
        <v>1556327</v>
      </c>
      <c r="E117" s="15">
        <f t="shared" si="22"/>
        <v>250668</v>
      </c>
      <c r="F117" s="15">
        <f t="shared" si="22"/>
        <v>2655858</v>
      </c>
      <c r="G117" s="15">
        <f t="shared" si="22"/>
        <v>60220</v>
      </c>
      <c r="H117" s="15">
        <f t="shared" si="22"/>
        <v>6622601</v>
      </c>
      <c r="I117" s="15">
        <f t="shared" si="22"/>
        <v>26872</v>
      </c>
      <c r="J117" s="15">
        <f t="shared" si="22"/>
        <v>20377</v>
      </c>
      <c r="K117" s="15">
        <f t="shared" si="22"/>
        <v>7141</v>
      </c>
      <c r="L117" s="15">
        <f t="shared" si="22"/>
        <v>404117</v>
      </c>
      <c r="M117" s="15">
        <f t="shared" si="22"/>
        <v>102781</v>
      </c>
      <c r="N117" s="15">
        <f t="shared" si="22"/>
        <v>770852</v>
      </c>
      <c r="O117" s="15">
        <f t="shared" si="22"/>
        <v>19683</v>
      </c>
      <c r="P117" s="15">
        <f t="shared" si="22"/>
        <v>952119</v>
      </c>
      <c r="Q117" s="15">
        <f t="shared" si="22"/>
        <v>274287</v>
      </c>
      <c r="R117" s="15">
        <f t="shared" si="22"/>
        <v>27790</v>
      </c>
      <c r="S117" s="15">
        <f t="shared" si="22"/>
        <v>54141</v>
      </c>
      <c r="T117" s="15">
        <f t="shared" si="22"/>
        <v>13919</v>
      </c>
      <c r="U117" s="15">
        <f t="shared" si="22"/>
        <v>590955</v>
      </c>
      <c r="V117" s="15">
        <f t="shared" si="22"/>
        <v>4325</v>
      </c>
      <c r="W117" s="15">
        <f t="shared" si="22"/>
        <v>406</v>
      </c>
      <c r="X117" s="15">
        <f t="shared" si="22"/>
        <v>14707</v>
      </c>
      <c r="Y117" s="15">
        <f t="shared" si="22"/>
        <v>220031</v>
      </c>
      <c r="Z117" s="15">
        <f t="shared" si="22"/>
        <v>2800</v>
      </c>
      <c r="AA117" s="15">
        <f t="shared" si="22"/>
        <v>41565</v>
      </c>
      <c r="AB117" s="15">
        <f t="shared" si="22"/>
        <v>43901</v>
      </c>
      <c r="AC117" s="15">
        <f t="shared" si="22"/>
        <v>83166</v>
      </c>
      <c r="AD117" s="15">
        <f t="shared" si="22"/>
        <v>106756</v>
      </c>
      <c r="AE117" s="15">
        <f t="shared" si="22"/>
        <v>13174</v>
      </c>
      <c r="AF117" s="15">
        <f t="shared" si="22"/>
        <v>1432</v>
      </c>
      <c r="AG117" s="15">
        <f t="shared" si="22"/>
        <v>12939</v>
      </c>
      <c r="AH117" s="15">
        <f t="shared" si="22"/>
        <v>1460</v>
      </c>
      <c r="AI117" s="15">
        <f t="shared" si="22"/>
        <v>3203</v>
      </c>
      <c r="AJ117" s="15">
        <f t="shared" si="22"/>
        <v>180</v>
      </c>
      <c r="AK117" s="15">
        <f t="shared" si="22"/>
        <v>40476</v>
      </c>
      <c r="AL117" s="15">
        <f t="shared" si="22"/>
        <v>4397</v>
      </c>
      <c r="AM117" s="15">
        <f t="shared" si="22"/>
        <v>0</v>
      </c>
      <c r="AN117" s="15">
        <f t="shared" si="22"/>
        <v>3515</v>
      </c>
      <c r="AO117" s="15">
        <f t="shared" si="22"/>
        <v>85388</v>
      </c>
      <c r="AP117" s="15">
        <f t="shared" si="22"/>
        <v>2199</v>
      </c>
      <c r="AQ117" s="15">
        <f t="shared" si="22"/>
        <v>1586</v>
      </c>
      <c r="AR117" s="15">
        <f t="shared" si="22"/>
        <v>30614</v>
      </c>
      <c r="AS117" s="15">
        <f t="shared" si="22"/>
        <v>9545</v>
      </c>
      <c r="AT117" s="15">
        <f t="shared" si="22"/>
        <v>0</v>
      </c>
      <c r="AU117" s="15">
        <f t="shared" si="22"/>
        <v>3985</v>
      </c>
      <c r="AV117" s="15">
        <f t="shared" si="22"/>
        <v>4905</v>
      </c>
      <c r="AW117" s="15">
        <f t="shared" si="22"/>
        <v>0</v>
      </c>
      <c r="AX117" s="15">
        <f t="shared" si="22"/>
        <v>15273</v>
      </c>
      <c r="AY117" s="15"/>
      <c r="AZ117" s="15">
        <f>+AZ106+AZ113+AZ115</f>
        <v>15762139</v>
      </c>
      <c r="BA117" s="15"/>
      <c r="BB117" s="25">
        <f>+BB106+BB113+BB115</f>
        <v>2030781</v>
      </c>
      <c r="BC117" s="25">
        <f>+BC106+BC113+BC115</f>
        <v>13731358</v>
      </c>
    </row>
    <row r="118" spans="1:55" ht="11.25" customHeight="1">
      <c r="A118" s="4"/>
      <c r="B118" s="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4"/>
      <c r="BC118" s="34"/>
    </row>
    <row r="119" spans="1:55" s="37" customFormat="1" ht="11.25" customHeight="1">
      <c r="A119" s="8" t="s">
        <v>83</v>
      </c>
      <c r="B119" s="8"/>
      <c r="C119" s="14">
        <f aca="true" t="shared" si="23" ref="C119:AX119">+C103-C117</f>
        <v>91184602</v>
      </c>
      <c r="D119" s="14">
        <f t="shared" si="23"/>
        <v>185400903</v>
      </c>
      <c r="E119" s="14">
        <f t="shared" si="23"/>
        <v>234770059</v>
      </c>
      <c r="F119" s="14">
        <f t="shared" si="23"/>
        <v>213424953</v>
      </c>
      <c r="G119" s="14">
        <f t="shared" si="23"/>
        <v>6783209</v>
      </c>
      <c r="H119" s="14">
        <f t="shared" si="23"/>
        <v>78774371</v>
      </c>
      <c r="I119" s="14">
        <f t="shared" si="23"/>
        <v>22803846</v>
      </c>
      <c r="J119" s="14">
        <f t="shared" si="23"/>
        <v>5718897</v>
      </c>
      <c r="K119" s="14">
        <f t="shared" si="23"/>
        <v>7710839</v>
      </c>
      <c r="L119" s="14">
        <f t="shared" si="23"/>
        <v>71525550</v>
      </c>
      <c r="M119" s="14">
        <f t="shared" si="23"/>
        <v>11491637</v>
      </c>
      <c r="N119" s="14">
        <f t="shared" si="23"/>
        <v>54355365</v>
      </c>
      <c r="O119" s="14">
        <f t="shared" si="23"/>
        <v>50594350</v>
      </c>
      <c r="P119" s="14">
        <f t="shared" si="23"/>
        <v>48532662</v>
      </c>
      <c r="Q119" s="14">
        <f t="shared" si="23"/>
        <v>24739080</v>
      </c>
      <c r="R119" s="14">
        <f t="shared" si="23"/>
        <v>10080709</v>
      </c>
      <c r="S119" s="14">
        <f t="shared" si="23"/>
        <v>27371507</v>
      </c>
      <c r="T119" s="14">
        <f t="shared" si="23"/>
        <v>25780336</v>
      </c>
      <c r="U119" s="14">
        <f t="shared" si="23"/>
        <v>25645214</v>
      </c>
      <c r="V119" s="14">
        <f t="shared" si="23"/>
        <v>20241933</v>
      </c>
      <c r="W119" s="14">
        <f t="shared" si="23"/>
        <v>1900229</v>
      </c>
      <c r="X119" s="14">
        <f t="shared" si="23"/>
        <v>2369364</v>
      </c>
      <c r="Y119" s="14">
        <f t="shared" si="23"/>
        <v>22147806</v>
      </c>
      <c r="Z119" s="14">
        <f t="shared" si="23"/>
        <v>21443378</v>
      </c>
      <c r="AA119" s="14">
        <f t="shared" si="23"/>
        <v>20905368</v>
      </c>
      <c r="AB119" s="14">
        <f t="shared" si="23"/>
        <v>14087989</v>
      </c>
      <c r="AC119" s="14">
        <f t="shared" si="23"/>
        <v>13179378</v>
      </c>
      <c r="AD119" s="14">
        <f t="shared" si="23"/>
        <v>11865756</v>
      </c>
      <c r="AE119" s="14">
        <f t="shared" si="23"/>
        <v>7064000</v>
      </c>
      <c r="AF119" s="14">
        <f t="shared" si="23"/>
        <v>3882037</v>
      </c>
      <c r="AG119" s="14">
        <f t="shared" si="23"/>
        <v>3630803</v>
      </c>
      <c r="AH119" s="14">
        <f t="shared" si="23"/>
        <v>183340</v>
      </c>
      <c r="AI119" s="14">
        <f t="shared" si="23"/>
        <v>2886163</v>
      </c>
      <c r="AJ119" s="14">
        <f t="shared" si="23"/>
        <v>322973</v>
      </c>
      <c r="AK119" s="14">
        <f t="shared" si="23"/>
        <v>2392117</v>
      </c>
      <c r="AL119" s="14">
        <f t="shared" si="23"/>
        <v>2378238</v>
      </c>
      <c r="AM119" s="14">
        <f t="shared" si="23"/>
        <v>2186980</v>
      </c>
      <c r="AN119" s="14">
        <f t="shared" si="23"/>
        <v>1766300</v>
      </c>
      <c r="AO119" s="14">
        <f t="shared" si="23"/>
        <v>1124824</v>
      </c>
      <c r="AP119" s="14">
        <f t="shared" si="23"/>
        <v>800865</v>
      </c>
      <c r="AQ119" s="14">
        <f t="shared" si="23"/>
        <v>777183</v>
      </c>
      <c r="AR119" s="14">
        <f t="shared" si="23"/>
        <v>693279</v>
      </c>
      <c r="AS119" s="14">
        <f t="shared" si="23"/>
        <v>537615</v>
      </c>
      <c r="AT119" s="14">
        <f t="shared" si="23"/>
        <v>470205</v>
      </c>
      <c r="AU119" s="14">
        <f t="shared" si="23"/>
        <v>451429</v>
      </c>
      <c r="AV119" s="14">
        <f t="shared" si="23"/>
        <v>443865</v>
      </c>
      <c r="AW119" s="14">
        <f t="shared" si="23"/>
        <v>64524</v>
      </c>
      <c r="AX119" s="14">
        <f t="shared" si="23"/>
        <v>27471</v>
      </c>
      <c r="AY119" s="14"/>
      <c r="AZ119" s="14">
        <f>+AZ103-AZ117</f>
        <v>1356913501</v>
      </c>
      <c r="BA119" s="14"/>
      <c r="BB119" s="352">
        <f>+BB103-BB117</f>
        <v>237845740</v>
      </c>
      <c r="BC119" s="352">
        <f>+BC103-BC117</f>
        <v>1119067761</v>
      </c>
    </row>
    <row r="120" spans="1:55" ht="11.25" customHeight="1">
      <c r="A120" s="4"/>
      <c r="B120" s="4"/>
      <c r="BB120" s="2"/>
      <c r="BC120" s="2"/>
    </row>
    <row r="121" spans="1:55" ht="17.25" customHeight="1">
      <c r="A121" s="9" t="s">
        <v>124</v>
      </c>
      <c r="B121" s="5"/>
      <c r="C121" s="10"/>
      <c r="D121" s="10"/>
      <c r="E121" s="12"/>
      <c r="F121" s="10"/>
      <c r="G121" s="12"/>
      <c r="H121" s="12"/>
      <c r="I121" s="10"/>
      <c r="J121" s="10"/>
      <c r="K121" s="12"/>
      <c r="L121" s="12"/>
      <c r="M121" s="12"/>
      <c r="N121" s="10"/>
      <c r="O121" s="12"/>
      <c r="Q121" s="12"/>
      <c r="T121" s="12"/>
      <c r="U121" s="12"/>
      <c r="V121" s="12"/>
      <c r="W121" s="12"/>
      <c r="X121" s="10"/>
      <c r="Y121" s="12"/>
      <c r="Z121" s="12"/>
      <c r="AA121" s="12"/>
      <c r="AB121" s="12"/>
      <c r="AC121" s="12"/>
      <c r="AD121" s="12"/>
      <c r="AF121" s="12"/>
      <c r="AH121" s="12"/>
      <c r="AI121" s="12"/>
      <c r="AJ121" s="12"/>
      <c r="AK121" s="12"/>
      <c r="AL121" s="10"/>
      <c r="AM121" s="12"/>
      <c r="AN121" s="12"/>
      <c r="AP121" s="10"/>
      <c r="AR121" s="10"/>
      <c r="AS121" s="12"/>
      <c r="AT121" s="12"/>
      <c r="AU121" s="12"/>
      <c r="AV121" s="10"/>
      <c r="AW121" s="12"/>
      <c r="AX121" s="10"/>
      <c r="AY121" s="12"/>
      <c r="AZ121" s="12"/>
      <c r="BA121" s="12"/>
      <c r="BB121" s="2"/>
      <c r="BC121" s="2"/>
    </row>
    <row r="122" spans="1:55" ht="11.25" customHeight="1" outlineLevel="1">
      <c r="A122" s="4" t="s">
        <v>125</v>
      </c>
      <c r="B122" s="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2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2"/>
      <c r="BA122" s="12"/>
      <c r="BB122" s="2"/>
      <c r="BC122" s="2"/>
    </row>
    <row r="123" spans="1:55" ht="11.25" customHeight="1" outlineLevel="1">
      <c r="A123" s="6" t="s">
        <v>126</v>
      </c>
      <c r="B123" s="6"/>
      <c r="C123" s="15">
        <v>10972117</v>
      </c>
      <c r="D123" s="15">
        <v>14055883</v>
      </c>
      <c r="E123" s="15">
        <v>11824188</v>
      </c>
      <c r="F123" s="15">
        <v>7769781</v>
      </c>
      <c r="G123" s="15">
        <v>2096892</v>
      </c>
      <c r="H123" s="15">
        <v>1939322</v>
      </c>
      <c r="I123" s="15">
        <v>1028682</v>
      </c>
      <c r="J123" s="15">
        <v>473096</v>
      </c>
      <c r="K123" s="15">
        <v>862806</v>
      </c>
      <c r="L123" s="15">
        <v>2990531</v>
      </c>
      <c r="M123" s="15">
        <v>1475451</v>
      </c>
      <c r="N123" s="15">
        <v>2253257</v>
      </c>
      <c r="O123" s="15">
        <v>1949695</v>
      </c>
      <c r="P123" s="12">
        <v>2810215</v>
      </c>
      <c r="Q123" s="15">
        <v>1713052</v>
      </c>
      <c r="R123" s="15">
        <v>1067194</v>
      </c>
      <c r="S123" s="15">
        <v>2167399</v>
      </c>
      <c r="T123" s="15">
        <v>1630722</v>
      </c>
      <c r="U123" s="15">
        <v>670813</v>
      </c>
      <c r="V123" s="15">
        <v>3171141</v>
      </c>
      <c r="W123" s="15">
        <v>297694</v>
      </c>
      <c r="X123" s="15">
        <v>466228</v>
      </c>
      <c r="Y123" s="15">
        <v>1073507</v>
      </c>
      <c r="Z123" s="15">
        <v>567027</v>
      </c>
      <c r="AA123" s="15">
        <v>419636</v>
      </c>
      <c r="AB123" s="15">
        <v>814320</v>
      </c>
      <c r="AC123" s="15">
        <v>2027137</v>
      </c>
      <c r="AD123" s="15">
        <v>93721</v>
      </c>
      <c r="AE123" s="15">
        <v>176165</v>
      </c>
      <c r="AF123" s="15">
        <v>166619</v>
      </c>
      <c r="AG123" s="15">
        <v>0</v>
      </c>
      <c r="AH123" s="15">
        <v>0</v>
      </c>
      <c r="AI123" s="15">
        <v>0</v>
      </c>
      <c r="AJ123" s="15">
        <v>38819</v>
      </c>
      <c r="AK123" s="15">
        <v>100584</v>
      </c>
      <c r="AL123" s="15">
        <v>157267</v>
      </c>
      <c r="AM123" s="15">
        <v>74755</v>
      </c>
      <c r="AN123" s="15">
        <v>18988</v>
      </c>
      <c r="AO123" s="15">
        <v>17099</v>
      </c>
      <c r="AP123" s="15">
        <v>39884</v>
      </c>
      <c r="AQ123" s="15">
        <v>0</v>
      </c>
      <c r="AR123" s="15">
        <v>0</v>
      </c>
      <c r="AS123" s="15">
        <v>-186</v>
      </c>
      <c r="AT123" s="15">
        <v>0</v>
      </c>
      <c r="AU123" s="15">
        <v>40810</v>
      </c>
      <c r="AV123" s="15">
        <v>264360</v>
      </c>
      <c r="AW123" s="15">
        <v>48919</v>
      </c>
      <c r="AX123" s="15">
        <v>128500</v>
      </c>
      <c r="AY123" s="15"/>
      <c r="AZ123" s="12">
        <f aca="true" t="shared" si="24" ref="AZ123:AZ131">SUM(C123:AY123)</f>
        <v>79954090</v>
      </c>
      <c r="BA123" s="12"/>
      <c r="BB123" s="25">
        <f aca="true" t="shared" si="25" ref="BB123:BB131">SUMIF($C$163:$AX$163,"já",C123:AX123)</f>
        <v>18204870</v>
      </c>
      <c r="BC123" s="25">
        <f aca="true" t="shared" si="26" ref="BC123:BC131">SUMIF($C$163:$AX$163,"nei",C123:AX123)</f>
        <v>61749220</v>
      </c>
    </row>
    <row r="124" spans="1:55" ht="11.25" customHeight="1" outlineLevel="1">
      <c r="A124" s="6" t="s">
        <v>127</v>
      </c>
      <c r="B124" s="6"/>
      <c r="C124" s="15">
        <v>1297501</v>
      </c>
      <c r="D124" s="15">
        <v>1635739</v>
      </c>
      <c r="E124" s="15">
        <v>9996727</v>
      </c>
      <c r="F124" s="15">
        <v>4887766</v>
      </c>
      <c r="G124" s="15">
        <v>945764</v>
      </c>
      <c r="H124" s="15">
        <v>1149518</v>
      </c>
      <c r="I124" s="26">
        <v>241242</v>
      </c>
      <c r="J124" s="26">
        <v>227208</v>
      </c>
      <c r="K124" s="15">
        <v>75741</v>
      </c>
      <c r="L124" s="15">
        <v>2656758</v>
      </c>
      <c r="M124" s="15">
        <v>1932254</v>
      </c>
      <c r="N124" s="15">
        <v>1269870</v>
      </c>
      <c r="O124" s="15">
        <v>873770</v>
      </c>
      <c r="P124" s="12">
        <v>1184263</v>
      </c>
      <c r="Q124" s="15">
        <v>435861</v>
      </c>
      <c r="R124" s="15">
        <v>161951</v>
      </c>
      <c r="S124" s="15">
        <v>249528</v>
      </c>
      <c r="T124" s="15">
        <v>680695</v>
      </c>
      <c r="U124" s="15">
        <v>902918</v>
      </c>
      <c r="V124" s="15">
        <v>570138</v>
      </c>
      <c r="W124" s="15">
        <v>53522</v>
      </c>
      <c r="X124" s="15">
        <v>27683</v>
      </c>
      <c r="Y124" s="15">
        <v>154972</v>
      </c>
      <c r="Z124" s="15">
        <v>507981</v>
      </c>
      <c r="AA124" s="15">
        <v>251214</v>
      </c>
      <c r="AB124" s="15">
        <v>0</v>
      </c>
      <c r="AC124" s="15">
        <v>742856</v>
      </c>
      <c r="AD124" s="15">
        <v>63553</v>
      </c>
      <c r="AE124" s="15">
        <v>64719</v>
      </c>
      <c r="AF124" s="15">
        <v>152625</v>
      </c>
      <c r="AG124" s="15">
        <v>59902</v>
      </c>
      <c r="AH124" s="15">
        <v>3170</v>
      </c>
      <c r="AI124" s="15">
        <v>15162</v>
      </c>
      <c r="AJ124" s="15">
        <v>5784</v>
      </c>
      <c r="AK124" s="15">
        <v>101839</v>
      </c>
      <c r="AL124" s="15">
        <v>119542</v>
      </c>
      <c r="AM124" s="15">
        <v>216015</v>
      </c>
      <c r="AN124" s="15">
        <v>-2793</v>
      </c>
      <c r="AO124" s="15">
        <v>810</v>
      </c>
      <c r="AP124" s="15">
        <v>18784</v>
      </c>
      <c r="AQ124" s="15">
        <v>6009</v>
      </c>
      <c r="AR124" s="15">
        <v>61848</v>
      </c>
      <c r="AS124" s="15">
        <v>-2166</v>
      </c>
      <c r="AT124" s="15">
        <v>40804</v>
      </c>
      <c r="AU124" s="15">
        <v>375</v>
      </c>
      <c r="AV124" s="15">
        <v>9569</v>
      </c>
      <c r="AW124" s="15">
        <v>5510</v>
      </c>
      <c r="AX124" s="15">
        <v>2304</v>
      </c>
      <c r="AY124" s="15"/>
      <c r="AZ124" s="12">
        <f t="shared" si="24"/>
        <v>34056805</v>
      </c>
      <c r="BA124" s="12"/>
      <c r="BB124" s="25">
        <f t="shared" si="25"/>
        <v>3076204</v>
      </c>
      <c r="BC124" s="25">
        <f t="shared" si="26"/>
        <v>30980601</v>
      </c>
    </row>
    <row r="125" spans="1:55" ht="11.25" customHeight="1" outlineLevel="1">
      <c r="A125" s="6" t="s">
        <v>128</v>
      </c>
      <c r="B125" s="6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2">
        <v>5952</v>
      </c>
      <c r="Q125" s="15">
        <v>0</v>
      </c>
      <c r="R125" s="15">
        <v>0</v>
      </c>
      <c r="S125" s="15">
        <v>0</v>
      </c>
      <c r="T125" s="15">
        <v>14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45063</v>
      </c>
      <c r="AB125" s="15">
        <v>0</v>
      </c>
      <c r="AC125" s="15">
        <v>0</v>
      </c>
      <c r="AD125" s="15">
        <v>0</v>
      </c>
      <c r="AE125" s="15">
        <v>0</v>
      </c>
      <c r="AF125" s="15">
        <v>4422</v>
      </c>
      <c r="AG125" s="15">
        <v>0</v>
      </c>
      <c r="AH125" s="15">
        <v>0</v>
      </c>
      <c r="AI125" s="15">
        <v>0</v>
      </c>
      <c r="AJ125" s="15">
        <v>0</v>
      </c>
      <c r="AK125" s="15">
        <v>8615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/>
      <c r="AZ125" s="12">
        <f t="shared" si="24"/>
        <v>64066</v>
      </c>
      <c r="BA125" s="12"/>
      <c r="BB125" s="25">
        <f t="shared" si="25"/>
        <v>8615</v>
      </c>
      <c r="BC125" s="25">
        <f t="shared" si="26"/>
        <v>55451</v>
      </c>
    </row>
    <row r="126" spans="1:55" ht="11.25" customHeight="1" outlineLevel="1">
      <c r="A126" s="6" t="s">
        <v>129</v>
      </c>
      <c r="B126" s="6"/>
      <c r="C126" s="15">
        <v>3132741</v>
      </c>
      <c r="D126" s="15">
        <v>8732658</v>
      </c>
      <c r="E126" s="15">
        <v>6558489</v>
      </c>
      <c r="F126" s="15">
        <v>7791995</v>
      </c>
      <c r="G126" s="15">
        <v>0</v>
      </c>
      <c r="H126" s="15">
        <v>4084069</v>
      </c>
      <c r="I126" s="15">
        <v>197677</v>
      </c>
      <c r="J126" s="15">
        <v>230138</v>
      </c>
      <c r="K126" s="15">
        <v>50690</v>
      </c>
      <c r="L126" s="15">
        <v>5706804</v>
      </c>
      <c r="M126" s="15">
        <v>333709</v>
      </c>
      <c r="N126" s="15">
        <v>836558</v>
      </c>
      <c r="O126" s="15">
        <v>2144806</v>
      </c>
      <c r="P126" s="12">
        <v>2361889</v>
      </c>
      <c r="Q126" s="15">
        <v>686445</v>
      </c>
      <c r="R126" s="15">
        <v>197330</v>
      </c>
      <c r="S126" s="15">
        <v>964192</v>
      </c>
      <c r="T126" s="15">
        <v>1353771</v>
      </c>
      <c r="U126" s="15">
        <v>697385</v>
      </c>
      <c r="V126" s="15">
        <v>893185</v>
      </c>
      <c r="W126" s="15">
        <v>83849</v>
      </c>
      <c r="X126" s="15">
        <v>660</v>
      </c>
      <c r="Y126" s="15">
        <v>1194933</v>
      </c>
      <c r="Z126" s="15">
        <v>548116</v>
      </c>
      <c r="AA126" s="15">
        <v>509221</v>
      </c>
      <c r="AB126" s="15">
        <v>403491</v>
      </c>
      <c r="AC126" s="15">
        <v>252833</v>
      </c>
      <c r="AD126" s="15">
        <v>741380</v>
      </c>
      <c r="AE126" s="15">
        <v>18104</v>
      </c>
      <c r="AF126" s="15">
        <v>34</v>
      </c>
      <c r="AG126" s="15">
        <v>140506</v>
      </c>
      <c r="AH126" s="15">
        <v>50062</v>
      </c>
      <c r="AI126" s="15">
        <v>172451</v>
      </c>
      <c r="AJ126" s="15">
        <v>0</v>
      </c>
      <c r="AK126" s="15">
        <v>218279</v>
      </c>
      <c r="AL126" s="15">
        <v>39379</v>
      </c>
      <c r="AM126" s="15">
        <v>184013</v>
      </c>
      <c r="AN126" s="15">
        <v>19798</v>
      </c>
      <c r="AO126" s="15">
        <v>33401</v>
      </c>
      <c r="AP126" s="15">
        <v>10170</v>
      </c>
      <c r="AQ126" s="15">
        <v>17774</v>
      </c>
      <c r="AR126" s="15">
        <v>26168</v>
      </c>
      <c r="AS126" s="15">
        <v>8444</v>
      </c>
      <c r="AT126" s="15">
        <v>27925</v>
      </c>
      <c r="AU126" s="15">
        <v>24809</v>
      </c>
      <c r="AV126" s="15">
        <v>7937</v>
      </c>
      <c r="AW126" s="15">
        <v>723</v>
      </c>
      <c r="AX126" s="15">
        <v>6783</v>
      </c>
      <c r="AY126" s="15"/>
      <c r="AZ126" s="12">
        <f t="shared" si="24"/>
        <v>51695774</v>
      </c>
      <c r="BA126" s="12"/>
      <c r="BB126" s="25">
        <f t="shared" si="25"/>
        <v>10774084</v>
      </c>
      <c r="BC126" s="25">
        <f t="shared" si="26"/>
        <v>40921690</v>
      </c>
    </row>
    <row r="127" spans="1:55" ht="11.25" customHeight="1" outlineLevel="1">
      <c r="A127" s="6" t="s">
        <v>130</v>
      </c>
      <c r="B127" s="6"/>
      <c r="C127" s="15">
        <v>2034790</v>
      </c>
      <c r="D127" s="15">
        <v>23643323</v>
      </c>
      <c r="E127" s="15">
        <v>24310839</v>
      </c>
      <c r="F127" s="15">
        <v>32138510</v>
      </c>
      <c r="G127" s="15">
        <v>0</v>
      </c>
      <c r="H127" s="15">
        <v>11394266</v>
      </c>
      <c r="I127" s="15">
        <v>4287263</v>
      </c>
      <c r="J127" s="15">
        <v>1030703</v>
      </c>
      <c r="K127" s="15">
        <v>2273936</v>
      </c>
      <c r="L127" s="15">
        <v>7452709</v>
      </c>
      <c r="M127" s="15">
        <v>3854422</v>
      </c>
      <c r="N127" s="15">
        <v>9125332</v>
      </c>
      <c r="O127" s="15">
        <v>1979052</v>
      </c>
      <c r="P127" s="12">
        <v>7529873</v>
      </c>
      <c r="Q127" s="15">
        <v>10520629</v>
      </c>
      <c r="R127" s="15">
        <v>4359856</v>
      </c>
      <c r="S127" s="15">
        <v>5319912</v>
      </c>
      <c r="T127" s="15">
        <v>13619895</v>
      </c>
      <c r="U127" s="15">
        <v>6966547</v>
      </c>
      <c r="V127" s="15">
        <v>878296</v>
      </c>
      <c r="W127" s="15">
        <v>82451</v>
      </c>
      <c r="X127" s="15">
        <v>2019531</v>
      </c>
      <c r="Y127" s="15">
        <v>3473461</v>
      </c>
      <c r="Z127" s="15">
        <v>1404160</v>
      </c>
      <c r="AA127" s="15">
        <v>7646273</v>
      </c>
      <c r="AB127" s="15">
        <v>8038747</v>
      </c>
      <c r="AC127" s="15">
        <v>920613</v>
      </c>
      <c r="AD127" s="15">
        <v>2095233</v>
      </c>
      <c r="AE127" s="15">
        <v>1010292</v>
      </c>
      <c r="AF127" s="15">
        <v>811757</v>
      </c>
      <c r="AG127" s="15">
        <v>418395</v>
      </c>
      <c r="AH127" s="15">
        <v>57057</v>
      </c>
      <c r="AI127" s="15">
        <v>1927659</v>
      </c>
      <c r="AJ127" s="15">
        <v>200285</v>
      </c>
      <c r="AK127" s="15">
        <v>482030</v>
      </c>
      <c r="AL127" s="11">
        <v>73500</v>
      </c>
      <c r="AM127" s="15">
        <v>218296</v>
      </c>
      <c r="AN127" s="15">
        <v>1545781</v>
      </c>
      <c r="AO127" s="15">
        <v>4161</v>
      </c>
      <c r="AP127" s="15">
        <v>406566</v>
      </c>
      <c r="AQ127" s="15">
        <v>549416</v>
      </c>
      <c r="AR127" s="15">
        <v>627</v>
      </c>
      <c r="AS127" s="15">
        <v>666953</v>
      </c>
      <c r="AT127" s="15">
        <v>0</v>
      </c>
      <c r="AU127" s="15">
        <v>138200</v>
      </c>
      <c r="AV127" s="15">
        <v>19051</v>
      </c>
      <c r="AW127" s="15">
        <v>0</v>
      </c>
      <c r="AX127" s="15">
        <v>0</v>
      </c>
      <c r="AY127" s="15"/>
      <c r="AZ127" s="12">
        <f t="shared" si="24"/>
        <v>206930648</v>
      </c>
      <c r="BA127" s="12"/>
      <c r="BB127" s="25">
        <f t="shared" si="25"/>
        <v>30446550</v>
      </c>
      <c r="BC127" s="25">
        <f t="shared" si="26"/>
        <v>176484098</v>
      </c>
    </row>
    <row r="128" spans="1:55" ht="11.25" customHeight="1" outlineLevel="1">
      <c r="A128" s="6" t="s">
        <v>131</v>
      </c>
      <c r="B128" s="6"/>
      <c r="C128" s="15">
        <v>7286640</v>
      </c>
      <c r="D128" s="15">
        <v>7637669</v>
      </c>
      <c r="E128" s="15">
        <v>7816722</v>
      </c>
      <c r="F128" s="15">
        <v>818332</v>
      </c>
      <c r="G128" s="15">
        <v>0</v>
      </c>
      <c r="H128" s="15">
        <v>8674006</v>
      </c>
      <c r="I128" s="15">
        <v>92700</v>
      </c>
      <c r="J128" s="15">
        <v>58810</v>
      </c>
      <c r="K128" s="15">
        <v>186450</v>
      </c>
      <c r="L128" s="15">
        <v>0</v>
      </c>
      <c r="M128" s="15">
        <v>1125579</v>
      </c>
      <c r="N128" s="15">
        <v>12025184</v>
      </c>
      <c r="O128" s="15">
        <v>56494</v>
      </c>
      <c r="P128" s="12">
        <v>1368073</v>
      </c>
      <c r="Q128" s="15">
        <v>751241</v>
      </c>
      <c r="R128" s="15">
        <v>40500</v>
      </c>
      <c r="S128" s="15">
        <v>1083409</v>
      </c>
      <c r="T128" s="15">
        <v>5307218</v>
      </c>
      <c r="U128" s="15">
        <v>945356</v>
      </c>
      <c r="V128" s="15">
        <v>579956</v>
      </c>
      <c r="W128" s="15">
        <v>54444</v>
      </c>
      <c r="X128" s="15">
        <v>0</v>
      </c>
      <c r="Y128" s="15">
        <v>601146</v>
      </c>
      <c r="Z128" s="15">
        <v>22770</v>
      </c>
      <c r="AA128" s="15">
        <v>338835</v>
      </c>
      <c r="AB128" s="15">
        <v>811300</v>
      </c>
      <c r="AC128" s="15">
        <v>515137</v>
      </c>
      <c r="AD128" s="15">
        <v>707227</v>
      </c>
      <c r="AE128" s="15">
        <v>33562</v>
      </c>
      <c r="AF128" s="15">
        <v>71779</v>
      </c>
      <c r="AG128" s="15">
        <v>2164798</v>
      </c>
      <c r="AH128" s="15">
        <v>47729</v>
      </c>
      <c r="AI128" s="15">
        <v>195934</v>
      </c>
      <c r="AJ128" s="15">
        <v>2120</v>
      </c>
      <c r="AK128" s="15">
        <v>874015</v>
      </c>
      <c r="AL128" s="11">
        <v>0</v>
      </c>
      <c r="AM128" s="15">
        <v>0</v>
      </c>
      <c r="AN128" s="15">
        <v>17723</v>
      </c>
      <c r="AO128" s="15">
        <v>648755</v>
      </c>
      <c r="AP128" s="15">
        <v>22260</v>
      </c>
      <c r="AQ128" s="15">
        <v>3825</v>
      </c>
      <c r="AR128" s="15">
        <v>56697</v>
      </c>
      <c r="AS128" s="15">
        <v>0</v>
      </c>
      <c r="AT128" s="15">
        <v>0</v>
      </c>
      <c r="AU128" s="15">
        <v>18992</v>
      </c>
      <c r="AV128" s="15">
        <v>284</v>
      </c>
      <c r="AW128" s="15">
        <v>0</v>
      </c>
      <c r="AX128" s="15">
        <v>0</v>
      </c>
      <c r="AY128" s="15"/>
      <c r="AZ128" s="12">
        <f t="shared" si="24"/>
        <v>63063671</v>
      </c>
      <c r="BA128" s="12"/>
      <c r="BB128" s="25">
        <f t="shared" si="25"/>
        <v>10399549</v>
      </c>
      <c r="BC128" s="25">
        <f t="shared" si="26"/>
        <v>52664122</v>
      </c>
    </row>
    <row r="129" spans="1:55" ht="11.25" customHeight="1" outlineLevel="1">
      <c r="A129" s="6" t="s">
        <v>132</v>
      </c>
      <c r="B129" s="6"/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9796</v>
      </c>
      <c r="M129" s="15">
        <v>0</v>
      </c>
      <c r="N129" s="15">
        <v>27424</v>
      </c>
      <c r="O129" s="15">
        <v>0</v>
      </c>
      <c r="P129" s="12">
        <v>23716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1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792</v>
      </c>
      <c r="AV129" s="15">
        <v>0</v>
      </c>
      <c r="AW129" s="15">
        <v>0</v>
      </c>
      <c r="AX129" s="15">
        <v>0</v>
      </c>
      <c r="AY129" s="15"/>
      <c r="AZ129" s="12">
        <f t="shared" si="24"/>
        <v>61728</v>
      </c>
      <c r="BA129" s="12"/>
      <c r="BB129" s="25">
        <f t="shared" si="25"/>
        <v>792</v>
      </c>
      <c r="BC129" s="25">
        <f t="shared" si="26"/>
        <v>60936</v>
      </c>
    </row>
    <row r="130" spans="1:55" ht="11.25" customHeight="1" outlineLevel="1">
      <c r="A130" s="6" t="s">
        <v>133</v>
      </c>
      <c r="B130" s="6"/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160550</v>
      </c>
      <c r="M130" s="15">
        <v>0</v>
      </c>
      <c r="N130" s="15">
        <v>0</v>
      </c>
      <c r="O130" s="15">
        <v>0</v>
      </c>
      <c r="P130" s="12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1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731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/>
      <c r="AZ130" s="12">
        <f t="shared" si="24"/>
        <v>161281</v>
      </c>
      <c r="BA130" s="12"/>
      <c r="BB130" s="25">
        <f t="shared" si="25"/>
        <v>0</v>
      </c>
      <c r="BC130" s="25">
        <f t="shared" si="26"/>
        <v>161281</v>
      </c>
    </row>
    <row r="131" spans="1:55" ht="11.25" customHeight="1" outlineLevel="1">
      <c r="A131" s="6" t="s">
        <v>134</v>
      </c>
      <c r="B131" s="6"/>
      <c r="C131" s="15">
        <v>0</v>
      </c>
      <c r="D131" s="15">
        <v>25294</v>
      </c>
      <c r="E131" s="15">
        <v>175322</v>
      </c>
      <c r="F131" s="15">
        <v>2601141</v>
      </c>
      <c r="G131" s="15">
        <v>16020</v>
      </c>
      <c r="H131" s="15">
        <v>3020808</v>
      </c>
      <c r="I131" s="15">
        <v>5692</v>
      </c>
      <c r="J131" s="15">
        <v>2087</v>
      </c>
      <c r="K131" s="15">
        <v>2693</v>
      </c>
      <c r="L131" s="15">
        <v>3074</v>
      </c>
      <c r="M131" s="15">
        <v>-1744616</v>
      </c>
      <c r="N131" s="15">
        <v>350464</v>
      </c>
      <c r="O131" s="15">
        <v>0</v>
      </c>
      <c r="P131" s="15">
        <v>0</v>
      </c>
      <c r="Q131" s="15">
        <v>80477</v>
      </c>
      <c r="R131" s="15">
        <v>508</v>
      </c>
      <c r="S131" s="15">
        <v>24024</v>
      </c>
      <c r="T131" s="15">
        <v>1623</v>
      </c>
      <c r="U131" s="15">
        <v>0</v>
      </c>
      <c r="V131" s="15">
        <v>-6730</v>
      </c>
      <c r="W131" s="15">
        <v>-632</v>
      </c>
      <c r="X131" s="15">
        <v>0</v>
      </c>
      <c r="Y131" s="15">
        <v>42469</v>
      </c>
      <c r="Z131" s="15">
        <v>0</v>
      </c>
      <c r="AA131" s="15">
        <v>0</v>
      </c>
      <c r="AB131" s="15">
        <v>-262</v>
      </c>
      <c r="AC131" s="15">
        <v>0</v>
      </c>
      <c r="AD131" s="15">
        <v>73867</v>
      </c>
      <c r="AE131" s="15">
        <v>0</v>
      </c>
      <c r="AF131" s="15">
        <v>0</v>
      </c>
      <c r="AG131" s="15">
        <v>0</v>
      </c>
      <c r="AH131" s="15">
        <v>13813</v>
      </c>
      <c r="AI131" s="15">
        <v>0</v>
      </c>
      <c r="AJ131" s="15">
        <v>0</v>
      </c>
      <c r="AK131" s="15">
        <v>679</v>
      </c>
      <c r="AL131" s="15">
        <v>0</v>
      </c>
      <c r="AM131" s="15">
        <v>-2264</v>
      </c>
      <c r="AN131" s="15">
        <v>0</v>
      </c>
      <c r="AO131" s="15">
        <v>0</v>
      </c>
      <c r="AP131" s="15">
        <v>0</v>
      </c>
      <c r="AQ131" s="15">
        <v>0</v>
      </c>
      <c r="AR131" s="15">
        <v>30397</v>
      </c>
      <c r="AS131" s="15">
        <v>3545</v>
      </c>
      <c r="AT131" s="15">
        <v>0</v>
      </c>
      <c r="AU131" s="15">
        <v>0</v>
      </c>
      <c r="AV131" s="15">
        <v>2938</v>
      </c>
      <c r="AW131" s="15">
        <v>28961</v>
      </c>
      <c r="AX131" s="15">
        <v>15272</v>
      </c>
      <c r="AY131" s="15"/>
      <c r="AZ131" s="12">
        <f t="shared" si="24"/>
        <v>4766664</v>
      </c>
      <c r="BA131" s="12"/>
      <c r="BB131" s="25">
        <f t="shared" si="25"/>
        <v>127162</v>
      </c>
      <c r="BC131" s="25">
        <f t="shared" si="26"/>
        <v>4639502</v>
      </c>
    </row>
    <row r="132" spans="1:55" ht="11.25" customHeight="1">
      <c r="A132" s="4" t="s">
        <v>135</v>
      </c>
      <c r="B132" s="4"/>
      <c r="C132" s="15">
        <f aca="true" t="shared" si="27" ref="C132:AX132">SUM(C123:C131)</f>
        <v>24723789</v>
      </c>
      <c r="D132" s="15">
        <f t="shared" si="27"/>
        <v>55730566</v>
      </c>
      <c r="E132" s="15">
        <f t="shared" si="27"/>
        <v>60682287</v>
      </c>
      <c r="F132" s="15">
        <f t="shared" si="27"/>
        <v>56007525</v>
      </c>
      <c r="G132" s="15">
        <f t="shared" si="27"/>
        <v>3058676</v>
      </c>
      <c r="H132" s="15">
        <f t="shared" si="27"/>
        <v>30261989</v>
      </c>
      <c r="I132" s="15">
        <f t="shared" si="27"/>
        <v>5853256</v>
      </c>
      <c r="J132" s="15">
        <f t="shared" si="27"/>
        <v>2022042</v>
      </c>
      <c r="K132" s="15">
        <f t="shared" si="27"/>
        <v>3452316</v>
      </c>
      <c r="L132" s="15">
        <f t="shared" si="27"/>
        <v>18980222</v>
      </c>
      <c r="M132" s="15">
        <f t="shared" si="27"/>
        <v>6976799</v>
      </c>
      <c r="N132" s="15">
        <f t="shared" si="27"/>
        <v>25888089</v>
      </c>
      <c r="O132" s="15">
        <f t="shared" si="27"/>
        <v>7003817</v>
      </c>
      <c r="P132" s="15">
        <f t="shared" si="27"/>
        <v>15283981</v>
      </c>
      <c r="Q132" s="15">
        <f t="shared" si="27"/>
        <v>14187705</v>
      </c>
      <c r="R132" s="15">
        <f t="shared" si="27"/>
        <v>5827339</v>
      </c>
      <c r="S132" s="15">
        <f t="shared" si="27"/>
        <v>9808464</v>
      </c>
      <c r="T132" s="15">
        <f t="shared" si="27"/>
        <v>22593938</v>
      </c>
      <c r="U132" s="15">
        <f t="shared" si="27"/>
        <v>10183019</v>
      </c>
      <c r="V132" s="15">
        <f t="shared" si="27"/>
        <v>6085986</v>
      </c>
      <c r="W132" s="15">
        <f t="shared" si="27"/>
        <v>571328</v>
      </c>
      <c r="X132" s="15">
        <f t="shared" si="27"/>
        <v>2514102</v>
      </c>
      <c r="Y132" s="15">
        <f t="shared" si="27"/>
        <v>6540488</v>
      </c>
      <c r="Z132" s="15">
        <f t="shared" si="27"/>
        <v>3050054</v>
      </c>
      <c r="AA132" s="15">
        <f t="shared" si="27"/>
        <v>9210242</v>
      </c>
      <c r="AB132" s="15">
        <f t="shared" si="27"/>
        <v>10067596</v>
      </c>
      <c r="AC132" s="15">
        <f t="shared" si="27"/>
        <v>4458576</v>
      </c>
      <c r="AD132" s="15">
        <f t="shared" si="27"/>
        <v>3774981</v>
      </c>
      <c r="AE132" s="15">
        <f t="shared" si="27"/>
        <v>1302842</v>
      </c>
      <c r="AF132" s="15">
        <f t="shared" si="27"/>
        <v>1207236</v>
      </c>
      <c r="AG132" s="15">
        <f t="shared" si="27"/>
        <v>2783601</v>
      </c>
      <c r="AH132" s="15">
        <f t="shared" si="27"/>
        <v>171831</v>
      </c>
      <c r="AI132" s="15">
        <f t="shared" si="27"/>
        <v>2311206</v>
      </c>
      <c r="AJ132" s="15">
        <f t="shared" si="27"/>
        <v>247008</v>
      </c>
      <c r="AK132" s="15">
        <f t="shared" si="27"/>
        <v>1786041</v>
      </c>
      <c r="AL132" s="15">
        <f t="shared" si="27"/>
        <v>389688</v>
      </c>
      <c r="AM132" s="15">
        <f t="shared" si="27"/>
        <v>690815</v>
      </c>
      <c r="AN132" s="15">
        <f t="shared" si="27"/>
        <v>1599497</v>
      </c>
      <c r="AO132" s="15">
        <f t="shared" si="27"/>
        <v>704226</v>
      </c>
      <c r="AP132" s="15">
        <f t="shared" si="27"/>
        <v>497664</v>
      </c>
      <c r="AQ132" s="15">
        <f t="shared" si="27"/>
        <v>577024</v>
      </c>
      <c r="AR132" s="15">
        <f t="shared" si="27"/>
        <v>176468</v>
      </c>
      <c r="AS132" s="15">
        <f t="shared" si="27"/>
        <v>676590</v>
      </c>
      <c r="AT132" s="15">
        <f t="shared" si="27"/>
        <v>68729</v>
      </c>
      <c r="AU132" s="15">
        <f t="shared" si="27"/>
        <v>223978</v>
      </c>
      <c r="AV132" s="15">
        <f t="shared" si="27"/>
        <v>304139</v>
      </c>
      <c r="AW132" s="15">
        <f t="shared" si="27"/>
        <v>84113</v>
      </c>
      <c r="AX132" s="15">
        <f t="shared" si="27"/>
        <v>152859</v>
      </c>
      <c r="AY132" s="26"/>
      <c r="AZ132" s="15">
        <f>SUM(AZ123:AZ131)</f>
        <v>440754727</v>
      </c>
      <c r="BA132" s="12"/>
      <c r="BB132" s="25">
        <f>SUM(BB123:BB131)</f>
        <v>73037826</v>
      </c>
      <c r="BC132" s="25">
        <f>SUM(BC123:BC131)</f>
        <v>367716901</v>
      </c>
    </row>
    <row r="133" spans="1:55" ht="11.25" customHeight="1">
      <c r="A133" s="4"/>
      <c r="B133" s="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2"/>
      <c r="BA133" s="12"/>
      <c r="BB133" s="2"/>
      <c r="BC133" s="2"/>
    </row>
    <row r="134" spans="1:55" ht="11.25" customHeight="1" outlineLevel="1">
      <c r="A134" s="4" t="s">
        <v>136</v>
      </c>
      <c r="B134" s="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2"/>
      <c r="BA134" s="12"/>
      <c r="BB134" s="2"/>
      <c r="BC134" s="2"/>
    </row>
    <row r="135" spans="1:55" ht="11.25" customHeight="1" outlineLevel="1">
      <c r="A135" s="6" t="s">
        <v>49</v>
      </c>
      <c r="B135" s="6"/>
      <c r="C135" s="15">
        <v>367194</v>
      </c>
      <c r="D135" s="15">
        <v>13530437</v>
      </c>
      <c r="E135" s="15">
        <v>3415701</v>
      </c>
      <c r="F135" s="15">
        <v>4823737</v>
      </c>
      <c r="G135" s="15">
        <v>10519</v>
      </c>
      <c r="H135" s="15">
        <v>2022460</v>
      </c>
      <c r="I135" s="15">
        <v>0</v>
      </c>
      <c r="J135" s="15">
        <v>508204</v>
      </c>
      <c r="K135" s="15">
        <v>77098</v>
      </c>
      <c r="L135" s="15">
        <v>1398306</v>
      </c>
      <c r="M135" s="15">
        <v>141650</v>
      </c>
      <c r="N135" s="15">
        <v>1347302</v>
      </c>
      <c r="O135" s="15">
        <v>506577</v>
      </c>
      <c r="P135" s="12">
        <v>1172551</v>
      </c>
      <c r="Q135" s="15">
        <v>871037</v>
      </c>
      <c r="R135" s="15">
        <v>35368</v>
      </c>
      <c r="S135" s="15">
        <v>539810</v>
      </c>
      <c r="T135" s="15">
        <v>220185</v>
      </c>
      <c r="U135" s="15">
        <v>513520</v>
      </c>
      <c r="V135" s="15">
        <v>203652</v>
      </c>
      <c r="W135" s="15">
        <v>19118</v>
      </c>
      <c r="X135" s="15">
        <v>4730</v>
      </c>
      <c r="Y135" s="15">
        <v>966037</v>
      </c>
      <c r="Z135" s="15">
        <v>434723</v>
      </c>
      <c r="AA135" s="15">
        <v>742518</v>
      </c>
      <c r="AB135" s="15">
        <v>405882</v>
      </c>
      <c r="AC135" s="15">
        <v>1736091</v>
      </c>
      <c r="AD135" s="15">
        <v>368464</v>
      </c>
      <c r="AE135" s="15">
        <v>166680</v>
      </c>
      <c r="AF135" s="15">
        <v>88736</v>
      </c>
      <c r="AG135" s="15">
        <v>150305</v>
      </c>
      <c r="AH135" s="15">
        <v>28764</v>
      </c>
      <c r="AI135" s="15">
        <v>117407</v>
      </c>
      <c r="AJ135" s="15">
        <v>1857</v>
      </c>
      <c r="AK135" s="15">
        <v>154902</v>
      </c>
      <c r="AL135" s="15">
        <v>229833</v>
      </c>
      <c r="AM135" s="15">
        <v>90284</v>
      </c>
      <c r="AN135" s="15">
        <v>84507</v>
      </c>
      <c r="AO135" s="15">
        <v>73367</v>
      </c>
      <c r="AP135" s="15">
        <v>39633</v>
      </c>
      <c r="AQ135" s="15">
        <v>44079</v>
      </c>
      <c r="AR135" s="15">
        <v>39118</v>
      </c>
      <c r="AS135" s="15">
        <v>38105</v>
      </c>
      <c r="AT135" s="15">
        <v>41905</v>
      </c>
      <c r="AU135" s="15">
        <v>50897</v>
      </c>
      <c r="AV135" s="15">
        <v>50863</v>
      </c>
      <c r="AW135" s="15">
        <v>72411</v>
      </c>
      <c r="AX135" s="15">
        <v>173722</v>
      </c>
      <c r="AY135" s="15"/>
      <c r="AZ135" s="12">
        <f>SUM(C135:AY135)</f>
        <v>38120246</v>
      </c>
      <c r="BA135" s="12"/>
      <c r="BB135" s="25">
        <f>SUMIF($C$163:$AX$163,"já",C135:AX135)</f>
        <v>17363921</v>
      </c>
      <c r="BC135" s="25">
        <f>SUMIF($C$163:$AX$163,"nei",C135:AX135)</f>
        <v>20756325</v>
      </c>
    </row>
    <row r="136" spans="1:55" ht="11.25" customHeight="1" outlineLevel="1">
      <c r="A136" s="6" t="s">
        <v>137</v>
      </c>
      <c r="B136" s="6"/>
      <c r="C136" s="15">
        <v>153847</v>
      </c>
      <c r="D136" s="15">
        <v>323668</v>
      </c>
      <c r="E136" s="15">
        <v>186206</v>
      </c>
      <c r="F136" s="15">
        <v>121385</v>
      </c>
      <c r="G136" s="15">
        <v>7803</v>
      </c>
      <c r="H136" s="15">
        <v>88821</v>
      </c>
      <c r="I136" s="15">
        <v>18579</v>
      </c>
      <c r="J136" s="15">
        <v>5432</v>
      </c>
      <c r="K136" s="15">
        <v>6196</v>
      </c>
      <c r="L136" s="15">
        <v>71733</v>
      </c>
      <c r="M136" s="15">
        <v>30546</v>
      </c>
      <c r="N136" s="15">
        <v>27997</v>
      </c>
      <c r="O136" s="15">
        <v>43887</v>
      </c>
      <c r="P136" s="12">
        <v>61094</v>
      </c>
      <c r="Q136" s="15">
        <v>19396</v>
      </c>
      <c r="R136" s="15">
        <v>18989</v>
      </c>
      <c r="S136" s="15">
        <v>14434</v>
      </c>
      <c r="T136" s="15">
        <v>85259</v>
      </c>
      <c r="U136" s="15">
        <v>1245</v>
      </c>
      <c r="V136" s="15">
        <v>26197</v>
      </c>
      <c r="W136" s="15">
        <v>2459</v>
      </c>
      <c r="X136" s="15">
        <v>1875</v>
      </c>
      <c r="Y136" s="15">
        <v>39173</v>
      </c>
      <c r="Z136" s="15">
        <v>22715</v>
      </c>
      <c r="AA136" s="15">
        <v>53120</v>
      </c>
      <c r="AB136" s="15">
        <v>10577</v>
      </c>
      <c r="AC136" s="15">
        <v>10492</v>
      </c>
      <c r="AD136" s="15">
        <v>0</v>
      </c>
      <c r="AE136" s="15">
        <v>6161</v>
      </c>
      <c r="AF136" s="15">
        <v>9849</v>
      </c>
      <c r="AG136" s="15">
        <v>1004</v>
      </c>
      <c r="AH136" s="15">
        <v>60</v>
      </c>
      <c r="AI136" s="15">
        <v>50</v>
      </c>
      <c r="AJ136" s="15">
        <v>6927</v>
      </c>
      <c r="AK136" s="15">
        <v>3049</v>
      </c>
      <c r="AL136" s="15">
        <v>2320</v>
      </c>
      <c r="AM136" s="15">
        <v>2988</v>
      </c>
      <c r="AN136" s="15">
        <v>108</v>
      </c>
      <c r="AO136" s="15">
        <v>3677</v>
      </c>
      <c r="AP136" s="15">
        <v>357</v>
      </c>
      <c r="AQ136" s="15">
        <v>115</v>
      </c>
      <c r="AR136" s="15">
        <v>101</v>
      </c>
      <c r="AS136" s="15">
        <v>0</v>
      </c>
      <c r="AT136" s="15">
        <v>0</v>
      </c>
      <c r="AU136" s="15">
        <v>75</v>
      </c>
      <c r="AV136" s="15">
        <v>1641</v>
      </c>
      <c r="AW136" s="15">
        <v>0</v>
      </c>
      <c r="AX136" s="15">
        <v>0</v>
      </c>
      <c r="AY136" s="15"/>
      <c r="AZ136" s="12">
        <f>SUM(C136:AY136)</f>
        <v>1491607</v>
      </c>
      <c r="BA136" s="12"/>
      <c r="BB136" s="25">
        <f>SUMIF($C$163:$AX$163,"já",C136:AX136)</f>
        <v>393661</v>
      </c>
      <c r="BC136" s="25">
        <f>SUMIF($C$163:$AX$163,"nei",C136:AX136)</f>
        <v>1097946</v>
      </c>
    </row>
    <row r="137" spans="1:55" ht="11.25" customHeight="1" outlineLevel="1">
      <c r="A137" s="6" t="s">
        <v>138</v>
      </c>
      <c r="B137" s="6"/>
      <c r="C137" s="15">
        <v>45262</v>
      </c>
      <c r="D137" s="15">
        <v>158460</v>
      </c>
      <c r="E137" s="15">
        <v>177194</v>
      </c>
      <c r="F137" s="15">
        <v>202974</v>
      </c>
      <c r="G137" s="15">
        <v>7695</v>
      </c>
      <c r="H137" s="15">
        <v>87507</v>
      </c>
      <c r="I137" s="15">
        <v>23393</v>
      </c>
      <c r="J137" s="15">
        <v>4930</v>
      </c>
      <c r="K137" s="15">
        <v>9702</v>
      </c>
      <c r="L137" s="15">
        <v>83485</v>
      </c>
      <c r="M137" s="15">
        <v>21313</v>
      </c>
      <c r="N137" s="15">
        <v>59524</v>
      </c>
      <c r="O137" s="15">
        <v>60006</v>
      </c>
      <c r="P137" s="11">
        <v>81238</v>
      </c>
      <c r="Q137" s="15">
        <v>34025</v>
      </c>
      <c r="R137" s="15">
        <v>13226</v>
      </c>
      <c r="S137" s="15">
        <v>61511</v>
      </c>
      <c r="T137" s="15">
        <v>41952</v>
      </c>
      <c r="U137" s="15">
        <v>48211</v>
      </c>
      <c r="V137" s="15">
        <v>42116</v>
      </c>
      <c r="W137" s="15">
        <v>3954</v>
      </c>
      <c r="X137" s="15">
        <v>3166</v>
      </c>
      <c r="Y137" s="15">
        <v>19314</v>
      </c>
      <c r="Z137" s="15">
        <v>25271</v>
      </c>
      <c r="AA137" s="15">
        <v>33517</v>
      </c>
      <c r="AB137" s="15">
        <v>17061</v>
      </c>
      <c r="AC137" s="15">
        <v>79182</v>
      </c>
      <c r="AD137" s="15">
        <v>3716</v>
      </c>
      <c r="AE137" s="15">
        <v>5786</v>
      </c>
      <c r="AF137" s="15">
        <v>6457</v>
      </c>
      <c r="AG137" s="15">
        <v>10070</v>
      </c>
      <c r="AH137" s="15">
        <v>837</v>
      </c>
      <c r="AI137" s="15">
        <v>2812</v>
      </c>
      <c r="AJ137" s="15">
        <v>1453</v>
      </c>
      <c r="AK137" s="15">
        <v>5567</v>
      </c>
      <c r="AL137" s="15">
        <v>6882</v>
      </c>
      <c r="AM137" s="15">
        <v>8003</v>
      </c>
      <c r="AN137" s="15">
        <v>3135</v>
      </c>
      <c r="AO137" s="15">
        <v>2533</v>
      </c>
      <c r="AP137" s="15">
        <v>3670</v>
      </c>
      <c r="AQ137" s="15">
        <v>1388</v>
      </c>
      <c r="AR137" s="15">
        <v>1643</v>
      </c>
      <c r="AS137" s="15">
        <v>2835</v>
      </c>
      <c r="AT137" s="15">
        <v>1297</v>
      </c>
      <c r="AU137" s="15">
        <v>2380</v>
      </c>
      <c r="AV137" s="15">
        <v>1641</v>
      </c>
      <c r="AW137" s="15">
        <v>2177</v>
      </c>
      <c r="AX137" s="15">
        <v>3496</v>
      </c>
      <c r="AY137" s="15"/>
      <c r="AZ137" s="12">
        <f>SUM(C137:AY137)</f>
        <v>1522967</v>
      </c>
      <c r="BA137" s="12"/>
      <c r="BB137" s="25">
        <f>SUMIF($C$163:$AX$163,"já",C137:AX137)</f>
        <v>299928</v>
      </c>
      <c r="BC137" s="25">
        <f>SUMIF($C$163:$AX$163,"nei",C137:AX137)</f>
        <v>1223039</v>
      </c>
    </row>
    <row r="138" spans="1:55" ht="11.25" customHeight="1" outlineLevel="1">
      <c r="A138" s="6" t="s">
        <v>139</v>
      </c>
      <c r="B138" s="6"/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26">
        <v>22</v>
      </c>
      <c r="J138" s="26">
        <v>-13</v>
      </c>
      <c r="K138" s="15">
        <v>47</v>
      </c>
      <c r="L138" s="15">
        <v>0</v>
      </c>
      <c r="M138" s="15">
        <v>-8775</v>
      </c>
      <c r="N138" s="15">
        <v>0</v>
      </c>
      <c r="O138" s="15">
        <v>0</v>
      </c>
      <c r="P138" s="12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673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/>
      <c r="AZ138" s="12">
        <f>SUM(C138:AY138)</f>
        <v>-8046</v>
      </c>
      <c r="BA138" s="12"/>
      <c r="BB138" s="25">
        <f>SUMIF($C$163:$AX$163,"já",C138:AX138)</f>
        <v>0</v>
      </c>
      <c r="BC138" s="25">
        <f>SUMIF($C$163:$AX$163,"nei",C138:AX138)</f>
        <v>-8046</v>
      </c>
    </row>
    <row r="139" spans="1:55" ht="11.25" customHeight="1" outlineLevel="1">
      <c r="A139" s="6" t="s">
        <v>140</v>
      </c>
      <c r="B139" s="6"/>
      <c r="C139" s="15">
        <v>0</v>
      </c>
      <c r="D139" s="15">
        <v>0</v>
      </c>
      <c r="E139" s="15">
        <v>855880</v>
      </c>
      <c r="F139" s="15">
        <v>0</v>
      </c>
      <c r="G139" s="15">
        <v>3032659</v>
      </c>
      <c r="H139" s="15">
        <v>0</v>
      </c>
      <c r="I139" s="15">
        <v>0</v>
      </c>
      <c r="J139" s="15">
        <v>0</v>
      </c>
      <c r="K139" s="15">
        <v>0</v>
      </c>
      <c r="L139" s="15">
        <v>180</v>
      </c>
      <c r="M139" s="15">
        <v>0</v>
      </c>
      <c r="N139" s="15">
        <v>239800</v>
      </c>
      <c r="O139" s="15">
        <v>1557</v>
      </c>
      <c r="P139" s="15">
        <v>0</v>
      </c>
      <c r="Q139" s="15">
        <v>382</v>
      </c>
      <c r="R139" s="15">
        <v>695</v>
      </c>
      <c r="S139" s="15">
        <v>0</v>
      </c>
      <c r="T139" s="15">
        <v>0</v>
      </c>
      <c r="U139" s="15">
        <v>56345</v>
      </c>
      <c r="V139" s="15">
        <v>0</v>
      </c>
      <c r="W139" s="15">
        <v>0</v>
      </c>
      <c r="X139" s="15">
        <v>-32215</v>
      </c>
      <c r="Y139" s="15">
        <v>0</v>
      </c>
      <c r="Z139" s="15">
        <v>4133</v>
      </c>
      <c r="AA139" s="15">
        <v>0</v>
      </c>
      <c r="AB139" s="15">
        <v>0</v>
      </c>
      <c r="AC139" s="15">
        <v>0</v>
      </c>
      <c r="AD139" s="15">
        <v>14369</v>
      </c>
      <c r="AE139" s="15">
        <v>0</v>
      </c>
      <c r="AF139" s="15">
        <v>0</v>
      </c>
      <c r="AG139" s="15">
        <v>360</v>
      </c>
      <c r="AH139" s="15">
        <v>0</v>
      </c>
      <c r="AI139" s="15">
        <v>0</v>
      </c>
      <c r="AJ139" s="15">
        <v>447</v>
      </c>
      <c r="AK139" s="15">
        <v>0</v>
      </c>
      <c r="AL139" s="15">
        <v>0</v>
      </c>
      <c r="AM139" s="15">
        <v>0</v>
      </c>
      <c r="AN139" s="15">
        <v>321</v>
      </c>
      <c r="AO139" s="15">
        <v>0</v>
      </c>
      <c r="AP139" s="15">
        <v>0</v>
      </c>
      <c r="AQ139" s="15">
        <v>420</v>
      </c>
      <c r="AR139" s="15">
        <v>0</v>
      </c>
      <c r="AS139" s="15">
        <v>0</v>
      </c>
      <c r="AT139" s="15">
        <v>1</v>
      </c>
      <c r="AU139" s="15">
        <v>0</v>
      </c>
      <c r="AV139" s="15">
        <v>0</v>
      </c>
      <c r="AW139" s="15">
        <v>0</v>
      </c>
      <c r="AX139" s="15">
        <v>0</v>
      </c>
      <c r="AY139" s="15"/>
      <c r="AZ139" s="12">
        <f>SUM(C139:AY139)</f>
        <v>4175334</v>
      </c>
      <c r="BA139" s="12"/>
      <c r="BB139" s="25">
        <f>SUMIF($C$163:$AX$163,"já",C139:AX139)</f>
        <v>0</v>
      </c>
      <c r="BC139" s="25">
        <f>SUMIF($C$163:$AX$163,"nei",C139:AX139)</f>
        <v>4175334</v>
      </c>
    </row>
    <row r="140" spans="1:55" ht="11.25" customHeight="1">
      <c r="A140" s="4" t="s">
        <v>141</v>
      </c>
      <c r="B140" s="4"/>
      <c r="C140" s="15">
        <f aca="true" t="shared" si="28" ref="C140:AX140">SUM(C135:C139)</f>
        <v>566303</v>
      </c>
      <c r="D140" s="15">
        <f t="shared" si="28"/>
        <v>14012565</v>
      </c>
      <c r="E140" s="15">
        <f t="shared" si="28"/>
        <v>4634981</v>
      </c>
      <c r="F140" s="15">
        <f t="shared" si="28"/>
        <v>5148096</v>
      </c>
      <c r="G140" s="15">
        <f t="shared" si="28"/>
        <v>3058676</v>
      </c>
      <c r="H140" s="15">
        <f t="shared" si="28"/>
        <v>2198788</v>
      </c>
      <c r="I140" s="15">
        <f t="shared" si="28"/>
        <v>41994</v>
      </c>
      <c r="J140" s="15">
        <f t="shared" si="28"/>
        <v>518553</v>
      </c>
      <c r="K140" s="15">
        <f t="shared" si="28"/>
        <v>93043</v>
      </c>
      <c r="L140" s="15">
        <f t="shared" si="28"/>
        <v>1553704</v>
      </c>
      <c r="M140" s="15">
        <f t="shared" si="28"/>
        <v>184734</v>
      </c>
      <c r="N140" s="15">
        <f t="shared" si="28"/>
        <v>1674623</v>
      </c>
      <c r="O140" s="15">
        <f t="shared" si="28"/>
        <v>612027</v>
      </c>
      <c r="P140" s="15">
        <f t="shared" si="28"/>
        <v>1314883</v>
      </c>
      <c r="Q140" s="15">
        <f t="shared" si="28"/>
        <v>924840</v>
      </c>
      <c r="R140" s="15">
        <f t="shared" si="28"/>
        <v>68278</v>
      </c>
      <c r="S140" s="15">
        <f t="shared" si="28"/>
        <v>615755</v>
      </c>
      <c r="T140" s="15">
        <f t="shared" si="28"/>
        <v>347396</v>
      </c>
      <c r="U140" s="15">
        <f t="shared" si="28"/>
        <v>619321</v>
      </c>
      <c r="V140" s="15">
        <f t="shared" si="28"/>
        <v>271965</v>
      </c>
      <c r="W140" s="15">
        <f t="shared" si="28"/>
        <v>25531</v>
      </c>
      <c r="X140" s="15">
        <f t="shared" si="28"/>
        <v>-22444</v>
      </c>
      <c r="Y140" s="15">
        <f t="shared" si="28"/>
        <v>1024524</v>
      </c>
      <c r="Z140" s="15">
        <f t="shared" si="28"/>
        <v>486842</v>
      </c>
      <c r="AA140" s="15">
        <f t="shared" si="28"/>
        <v>829155</v>
      </c>
      <c r="AB140" s="15">
        <f t="shared" si="28"/>
        <v>433520</v>
      </c>
      <c r="AC140" s="15">
        <f t="shared" si="28"/>
        <v>1825765</v>
      </c>
      <c r="AD140" s="15">
        <f t="shared" si="28"/>
        <v>386549</v>
      </c>
      <c r="AE140" s="15">
        <f t="shared" si="28"/>
        <v>178627</v>
      </c>
      <c r="AF140" s="15">
        <f t="shared" si="28"/>
        <v>105042</v>
      </c>
      <c r="AG140" s="15">
        <f t="shared" si="28"/>
        <v>161739</v>
      </c>
      <c r="AH140" s="15">
        <f t="shared" si="28"/>
        <v>29661</v>
      </c>
      <c r="AI140" s="15">
        <f t="shared" si="28"/>
        <v>120269</v>
      </c>
      <c r="AJ140" s="15">
        <f t="shared" si="28"/>
        <v>10684</v>
      </c>
      <c r="AK140" s="15">
        <f t="shared" si="28"/>
        <v>163518</v>
      </c>
      <c r="AL140" s="15">
        <f t="shared" si="28"/>
        <v>239035</v>
      </c>
      <c r="AM140" s="15">
        <f t="shared" si="28"/>
        <v>101275</v>
      </c>
      <c r="AN140" s="15">
        <f t="shared" si="28"/>
        <v>88071</v>
      </c>
      <c r="AO140" s="15">
        <f t="shared" si="28"/>
        <v>79577</v>
      </c>
      <c r="AP140" s="15">
        <f t="shared" si="28"/>
        <v>43660</v>
      </c>
      <c r="AQ140" s="15">
        <f t="shared" si="28"/>
        <v>46002</v>
      </c>
      <c r="AR140" s="15">
        <f t="shared" si="28"/>
        <v>41535</v>
      </c>
      <c r="AS140" s="15">
        <f t="shared" si="28"/>
        <v>40940</v>
      </c>
      <c r="AT140" s="15">
        <f t="shared" si="28"/>
        <v>43203</v>
      </c>
      <c r="AU140" s="15">
        <f t="shared" si="28"/>
        <v>53352</v>
      </c>
      <c r="AV140" s="15">
        <f t="shared" si="28"/>
        <v>54145</v>
      </c>
      <c r="AW140" s="15">
        <f t="shared" si="28"/>
        <v>74588</v>
      </c>
      <c r="AX140" s="15">
        <f t="shared" si="28"/>
        <v>177218</v>
      </c>
      <c r="AY140" s="15"/>
      <c r="AZ140" s="15">
        <f>SUM(AZ135:AZ139)</f>
        <v>45302108</v>
      </c>
      <c r="BA140" s="12"/>
      <c r="BB140" s="25">
        <f>SUM(BB135:BB139)</f>
        <v>18057510</v>
      </c>
      <c r="BC140" s="25">
        <f>SUM(BC135:BC139)</f>
        <v>27244598</v>
      </c>
    </row>
    <row r="141" spans="1:55" ht="11.25" customHeight="1">
      <c r="A141" s="12"/>
      <c r="B141" s="12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V141" s="15"/>
      <c r="AW141" s="15"/>
      <c r="AX141" s="15"/>
      <c r="AY141" s="15"/>
      <c r="AZ141" s="15"/>
      <c r="BA141" s="12"/>
      <c r="BB141" s="15"/>
      <c r="BC141" s="15"/>
    </row>
    <row r="142" spans="1:55" ht="11.25" customHeight="1">
      <c r="A142" s="4" t="s">
        <v>142</v>
      </c>
      <c r="B142" s="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2"/>
      <c r="BB142" s="15"/>
      <c r="BC142" s="15"/>
    </row>
    <row r="143" spans="1:55" ht="11.25" customHeight="1">
      <c r="A143" s="4" t="s">
        <v>143</v>
      </c>
      <c r="B143" s="4"/>
      <c r="C143" s="15">
        <f aca="true" t="shared" si="29" ref="C143:AX143">+C132-C140</f>
        <v>24157486</v>
      </c>
      <c r="D143" s="15">
        <f t="shared" si="29"/>
        <v>41718001</v>
      </c>
      <c r="E143" s="15">
        <f t="shared" si="29"/>
        <v>56047306</v>
      </c>
      <c r="F143" s="15">
        <f t="shared" si="29"/>
        <v>50859429</v>
      </c>
      <c r="G143" s="15">
        <f t="shared" si="29"/>
        <v>0</v>
      </c>
      <c r="H143" s="15">
        <f t="shared" si="29"/>
        <v>28063201</v>
      </c>
      <c r="I143" s="15">
        <f t="shared" si="29"/>
        <v>5811262</v>
      </c>
      <c r="J143" s="15">
        <f t="shared" si="29"/>
        <v>1503489</v>
      </c>
      <c r="K143" s="15">
        <f t="shared" si="29"/>
        <v>3359273</v>
      </c>
      <c r="L143" s="15">
        <f t="shared" si="29"/>
        <v>17426518</v>
      </c>
      <c r="M143" s="15">
        <f t="shared" si="29"/>
        <v>6792065</v>
      </c>
      <c r="N143" s="15">
        <f t="shared" si="29"/>
        <v>24213466</v>
      </c>
      <c r="O143" s="15">
        <f t="shared" si="29"/>
        <v>6391790</v>
      </c>
      <c r="P143" s="15">
        <f t="shared" si="29"/>
        <v>13969098</v>
      </c>
      <c r="Q143" s="15">
        <f t="shared" si="29"/>
        <v>13262865</v>
      </c>
      <c r="R143" s="15">
        <f t="shared" si="29"/>
        <v>5759061</v>
      </c>
      <c r="S143" s="15">
        <f t="shared" si="29"/>
        <v>9192709</v>
      </c>
      <c r="T143" s="15">
        <f t="shared" si="29"/>
        <v>22246542</v>
      </c>
      <c r="U143" s="15">
        <f t="shared" si="29"/>
        <v>9563698</v>
      </c>
      <c r="V143" s="15">
        <f t="shared" si="29"/>
        <v>5814021</v>
      </c>
      <c r="W143" s="15">
        <f t="shared" si="29"/>
        <v>545797</v>
      </c>
      <c r="X143" s="15">
        <f t="shared" si="29"/>
        <v>2536546</v>
      </c>
      <c r="Y143" s="15">
        <f t="shared" si="29"/>
        <v>5515964</v>
      </c>
      <c r="Z143" s="15">
        <f t="shared" si="29"/>
        <v>2563212</v>
      </c>
      <c r="AA143" s="15">
        <f t="shared" si="29"/>
        <v>8381087</v>
      </c>
      <c r="AB143" s="15">
        <f t="shared" si="29"/>
        <v>9634076</v>
      </c>
      <c r="AC143" s="15">
        <f t="shared" si="29"/>
        <v>2632811</v>
      </c>
      <c r="AD143" s="15">
        <f t="shared" si="29"/>
        <v>3388432</v>
      </c>
      <c r="AE143" s="15">
        <f t="shared" si="29"/>
        <v>1124215</v>
      </c>
      <c r="AF143" s="15">
        <f t="shared" si="29"/>
        <v>1102194</v>
      </c>
      <c r="AG143" s="15">
        <f t="shared" si="29"/>
        <v>2621862</v>
      </c>
      <c r="AH143" s="15">
        <f t="shared" si="29"/>
        <v>142170</v>
      </c>
      <c r="AI143" s="15">
        <f t="shared" si="29"/>
        <v>2190937</v>
      </c>
      <c r="AJ143" s="15">
        <f t="shared" si="29"/>
        <v>236324</v>
      </c>
      <c r="AK143" s="15">
        <f t="shared" si="29"/>
        <v>1622523</v>
      </c>
      <c r="AL143" s="15">
        <f t="shared" si="29"/>
        <v>150653</v>
      </c>
      <c r="AM143" s="15">
        <f t="shared" si="29"/>
        <v>589540</v>
      </c>
      <c r="AN143" s="15">
        <f t="shared" si="29"/>
        <v>1511426</v>
      </c>
      <c r="AO143" s="15">
        <f t="shared" si="29"/>
        <v>624649</v>
      </c>
      <c r="AP143" s="15">
        <f t="shared" si="29"/>
        <v>454004</v>
      </c>
      <c r="AQ143" s="15">
        <f t="shared" si="29"/>
        <v>531022</v>
      </c>
      <c r="AR143" s="15">
        <f t="shared" si="29"/>
        <v>134933</v>
      </c>
      <c r="AS143" s="15">
        <f t="shared" si="29"/>
        <v>635650</v>
      </c>
      <c r="AT143" s="15">
        <f t="shared" si="29"/>
        <v>25526</v>
      </c>
      <c r="AU143" s="15">
        <f t="shared" si="29"/>
        <v>170626</v>
      </c>
      <c r="AV143" s="15">
        <f t="shared" si="29"/>
        <v>249994</v>
      </c>
      <c r="AW143" s="15">
        <f t="shared" si="29"/>
        <v>9525</v>
      </c>
      <c r="AX143" s="15">
        <f t="shared" si="29"/>
        <v>-24359</v>
      </c>
      <c r="AY143" s="15"/>
      <c r="AZ143" s="15">
        <f>+AZ132-AZ140</f>
        <v>395452619</v>
      </c>
      <c r="BA143" s="12"/>
      <c r="BB143" s="15">
        <f>+BB132-BB140</f>
        <v>54980316</v>
      </c>
      <c r="BC143" s="15">
        <f>+BC132-BC140</f>
        <v>340472303</v>
      </c>
    </row>
    <row r="144" spans="1:55" ht="11.25" customHeight="1">
      <c r="A144" s="4"/>
      <c r="B144" s="4"/>
      <c r="C144" s="26"/>
      <c r="D144" s="26"/>
      <c r="F144" s="26"/>
      <c r="G144" s="26"/>
      <c r="H144" s="26"/>
      <c r="I144" s="15"/>
      <c r="J144" s="15"/>
      <c r="K144" s="26"/>
      <c r="L144" s="26"/>
      <c r="M144" s="26"/>
      <c r="N144" s="26"/>
      <c r="O144" s="26"/>
      <c r="Q144" s="26"/>
      <c r="R144" s="26"/>
      <c r="S144" s="26"/>
      <c r="T144" s="26"/>
      <c r="U144" s="26"/>
      <c r="W144" s="26"/>
      <c r="X144" s="26"/>
      <c r="Y144" s="26"/>
      <c r="AB144" s="26"/>
      <c r="AD144" s="26"/>
      <c r="AE144" s="26"/>
      <c r="AF144" s="26"/>
      <c r="AG144" s="26"/>
      <c r="AH144" s="26"/>
      <c r="AI144" s="26"/>
      <c r="AJ144" s="26"/>
      <c r="AK144" s="26"/>
      <c r="AM144" s="26"/>
      <c r="AN144" s="26"/>
      <c r="AO144" s="26"/>
      <c r="AP144" s="26"/>
      <c r="AQ144" s="26"/>
      <c r="AR144" s="26"/>
      <c r="AS144" s="26"/>
      <c r="AT144" s="26"/>
      <c r="AV144" s="26"/>
      <c r="AW144" s="26"/>
      <c r="AX144" s="26"/>
      <c r="AY144" s="26"/>
      <c r="AZ144" s="12"/>
      <c r="BA144" s="12"/>
      <c r="BB144" s="12"/>
      <c r="BC144" s="12"/>
    </row>
    <row r="145" spans="1:55" ht="11.25" customHeight="1" outlineLevel="1">
      <c r="A145" s="4" t="s">
        <v>144</v>
      </c>
      <c r="B145" s="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2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/>
      <c r="BA145" s="12"/>
      <c r="BB145" s="12"/>
      <c r="BC145" s="12"/>
    </row>
    <row r="146" spans="1:55" ht="11.25" customHeight="1" outlineLevel="1">
      <c r="A146" s="6" t="s">
        <v>145</v>
      </c>
      <c r="B146" s="6"/>
      <c r="C146" s="15">
        <v>8743180</v>
      </c>
      <c r="D146" s="15">
        <v>30012065</v>
      </c>
      <c r="E146" s="15">
        <v>37719824</v>
      </c>
      <c r="F146" s="15">
        <v>40239194</v>
      </c>
      <c r="G146" s="15">
        <v>0</v>
      </c>
      <c r="H146" s="15">
        <v>16129837</v>
      </c>
      <c r="I146" s="15">
        <v>4230445</v>
      </c>
      <c r="J146" s="15">
        <v>840058</v>
      </c>
      <c r="K146" s="15">
        <v>2688908</v>
      </c>
      <c r="L146" s="15">
        <v>11212627</v>
      </c>
      <c r="M146" s="15">
        <v>4858930</v>
      </c>
      <c r="N146" s="15">
        <v>9752061</v>
      </c>
      <c r="O146" s="15">
        <v>914371</v>
      </c>
      <c r="P146" s="12">
        <v>7118908</v>
      </c>
      <c r="Q146" s="15">
        <v>10834066</v>
      </c>
      <c r="R146" s="15">
        <v>5125822</v>
      </c>
      <c r="S146" s="15">
        <v>6948500</v>
      </c>
      <c r="T146" s="15">
        <v>14767166</v>
      </c>
      <c r="U146" s="15">
        <v>7136366</v>
      </c>
      <c r="V146" s="15">
        <v>1995639</v>
      </c>
      <c r="W146" s="15">
        <v>187342</v>
      </c>
      <c r="X146" s="15">
        <v>2535156</v>
      </c>
      <c r="Y146" s="15">
        <v>4760191</v>
      </c>
      <c r="Z146" s="15">
        <v>994932</v>
      </c>
      <c r="AA146" s="15">
        <v>7869934</v>
      </c>
      <c r="AB146" s="15">
        <v>8909314</v>
      </c>
      <c r="AC146" s="15">
        <v>1467932</v>
      </c>
      <c r="AD146" s="15">
        <v>1453925</v>
      </c>
      <c r="AE146" s="15">
        <v>584998</v>
      </c>
      <c r="AF146" s="15">
        <v>949680</v>
      </c>
      <c r="AG146" s="15">
        <v>2566445</v>
      </c>
      <c r="AH146" s="15">
        <v>142487</v>
      </c>
      <c r="AI146" s="15">
        <v>2185600</v>
      </c>
      <c r="AJ146" s="15">
        <v>251318</v>
      </c>
      <c r="AK146" s="15">
        <v>433240</v>
      </c>
      <c r="AL146" s="15">
        <v>151330</v>
      </c>
      <c r="AM146" s="15">
        <v>485904</v>
      </c>
      <c r="AN146" s="15">
        <v>1503433</v>
      </c>
      <c r="AO146" s="15">
        <v>603741</v>
      </c>
      <c r="AP146" s="15">
        <v>428216</v>
      </c>
      <c r="AQ146" s="15">
        <v>531434</v>
      </c>
      <c r="AR146" s="15">
        <v>0</v>
      </c>
      <c r="AS146" s="15">
        <v>622207</v>
      </c>
      <c r="AT146" s="15">
        <v>20000</v>
      </c>
      <c r="AU146" s="15">
        <v>23142</v>
      </c>
      <c r="AV146" s="15">
        <v>88685</v>
      </c>
      <c r="AW146" s="15">
        <v>0</v>
      </c>
      <c r="AX146" s="15">
        <v>0</v>
      </c>
      <c r="AY146" s="15"/>
      <c r="AZ146" s="12">
        <f aca="true" t="shared" si="30" ref="AZ146:AZ152">SUM(C146:AY146)</f>
        <v>261018553</v>
      </c>
      <c r="BA146" s="12"/>
      <c r="BB146" s="25">
        <f aca="true" t="shared" si="31" ref="BB146:BB152">SUMIF($C$163:$AX$163,"já",C146:AX146)</f>
        <v>39181931</v>
      </c>
      <c r="BC146" s="25">
        <f aca="true" t="shared" si="32" ref="BC146:BC152">SUMIF($C$163:$AX$163,"nei",C146:AX146)</f>
        <v>221836622</v>
      </c>
    </row>
    <row r="147" spans="1:55" ht="11.25" customHeight="1" outlineLevel="1">
      <c r="A147" s="6" t="s">
        <v>146</v>
      </c>
      <c r="B147" s="6"/>
      <c r="C147" s="15">
        <v>12712749</v>
      </c>
      <c r="D147" s="15">
        <v>10714358</v>
      </c>
      <c r="E147" s="15">
        <v>14629102</v>
      </c>
      <c r="F147" s="15">
        <v>10158225</v>
      </c>
      <c r="G147" s="15">
        <v>0</v>
      </c>
      <c r="H147" s="15">
        <v>7626330</v>
      </c>
      <c r="I147" s="15">
        <v>1465843</v>
      </c>
      <c r="J147" s="15">
        <v>664311</v>
      </c>
      <c r="K147" s="15">
        <v>720247</v>
      </c>
      <c r="L147" s="15">
        <v>4915271</v>
      </c>
      <c r="M147" s="15">
        <v>1506076</v>
      </c>
      <c r="N147" s="15">
        <v>14595079</v>
      </c>
      <c r="O147" s="15">
        <v>5485925</v>
      </c>
      <c r="P147" s="12">
        <v>7568811</v>
      </c>
      <c r="Q147" s="15">
        <v>2471672</v>
      </c>
      <c r="R147" s="15">
        <v>594508</v>
      </c>
      <c r="S147" s="15">
        <v>2595978</v>
      </c>
      <c r="T147" s="15">
        <v>7298530</v>
      </c>
      <c r="U147" s="15">
        <v>2375211</v>
      </c>
      <c r="V147" s="15">
        <v>2601749</v>
      </c>
      <c r="W147" s="15">
        <v>242059</v>
      </c>
      <c r="X147" s="15">
        <v>74126</v>
      </c>
      <c r="Y147" s="15">
        <v>1180688</v>
      </c>
      <c r="Z147" s="15">
        <v>1668722</v>
      </c>
      <c r="AA147" s="15">
        <v>556383</v>
      </c>
      <c r="AB147" s="15">
        <v>473784</v>
      </c>
      <c r="AC147" s="15">
        <v>1131531</v>
      </c>
      <c r="AD147" s="15">
        <v>1930128</v>
      </c>
      <c r="AE147" s="15">
        <v>520984</v>
      </c>
      <c r="AF147" s="15">
        <v>231861</v>
      </c>
      <c r="AG147" s="15">
        <v>55000</v>
      </c>
      <c r="AH147" s="15">
        <v>0</v>
      </c>
      <c r="AI147" s="15">
        <v>50000</v>
      </c>
      <c r="AJ147" s="15">
        <v>5000</v>
      </c>
      <c r="AK147" s="15">
        <v>1187754</v>
      </c>
      <c r="AL147" s="15">
        <v>0</v>
      </c>
      <c r="AM147" s="15">
        <v>75650</v>
      </c>
      <c r="AN147" s="15">
        <v>35000</v>
      </c>
      <c r="AO147" s="15">
        <v>20000</v>
      </c>
      <c r="AP147" s="15">
        <v>27304</v>
      </c>
      <c r="AQ147" s="15">
        <v>5000</v>
      </c>
      <c r="AR147" s="15">
        <v>0</v>
      </c>
      <c r="AS147" s="15">
        <v>10000</v>
      </c>
      <c r="AT147" s="15">
        <v>30608</v>
      </c>
      <c r="AU147" s="15">
        <v>143445</v>
      </c>
      <c r="AV147" s="15">
        <v>141089</v>
      </c>
      <c r="AW147" s="15">
        <v>0</v>
      </c>
      <c r="AX147" s="15">
        <v>0</v>
      </c>
      <c r="AY147" s="15"/>
      <c r="AZ147" s="12">
        <f t="shared" si="30"/>
        <v>120496091</v>
      </c>
      <c r="BA147" s="12"/>
      <c r="BB147" s="25">
        <f t="shared" si="31"/>
        <v>15142803</v>
      </c>
      <c r="BC147" s="25">
        <f t="shared" si="32"/>
        <v>105353288</v>
      </c>
    </row>
    <row r="148" spans="1:55" ht="11.25" customHeight="1" outlineLevel="1">
      <c r="A148" s="6" t="s">
        <v>147</v>
      </c>
      <c r="B148" s="6"/>
      <c r="C148" s="15">
        <v>2718795</v>
      </c>
      <c r="D148" s="15">
        <v>4228727</v>
      </c>
      <c r="E148" s="15">
        <v>5580144</v>
      </c>
      <c r="F148" s="15">
        <v>1445506</v>
      </c>
      <c r="G148" s="15">
        <v>0</v>
      </c>
      <c r="H148" s="15">
        <v>4460650</v>
      </c>
      <c r="I148" s="26">
        <v>0</v>
      </c>
      <c r="J148" s="26">
        <v>0</v>
      </c>
      <c r="K148" s="15">
        <v>0</v>
      </c>
      <c r="L148" s="15">
        <v>1590498</v>
      </c>
      <c r="M148" s="15">
        <v>4300</v>
      </c>
      <c r="N148" s="15">
        <v>0</v>
      </c>
      <c r="O148" s="15">
        <v>236436</v>
      </c>
      <c r="P148" s="12">
        <v>114326</v>
      </c>
      <c r="Q148" s="15">
        <v>131219</v>
      </c>
      <c r="R148" s="15">
        <v>99587</v>
      </c>
      <c r="S148" s="15">
        <v>86730</v>
      </c>
      <c r="T148" s="15">
        <v>0</v>
      </c>
      <c r="U148" s="15">
        <v>62022</v>
      </c>
      <c r="V148" s="15">
        <v>1140203</v>
      </c>
      <c r="W148" s="15">
        <v>107038</v>
      </c>
      <c r="X148" s="15">
        <v>0</v>
      </c>
      <c r="Y148" s="15">
        <v>389400</v>
      </c>
      <c r="Z148" s="15">
        <v>0</v>
      </c>
      <c r="AA148" s="15">
        <v>12154</v>
      </c>
      <c r="AB148" s="15">
        <v>559303</v>
      </c>
      <c r="AC148" s="15">
        <v>0</v>
      </c>
      <c r="AD148" s="15">
        <v>21500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21404</v>
      </c>
      <c r="AL148" s="15">
        <v>2000</v>
      </c>
      <c r="AM148" s="15">
        <v>45503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39400</v>
      </c>
      <c r="AW148" s="15">
        <v>0</v>
      </c>
      <c r="AX148" s="15">
        <v>0</v>
      </c>
      <c r="AY148" s="15"/>
      <c r="AZ148" s="12">
        <f t="shared" si="30"/>
        <v>23096845</v>
      </c>
      <c r="BA148" s="12"/>
      <c r="BB148" s="25">
        <f t="shared" si="31"/>
        <v>4726434</v>
      </c>
      <c r="BC148" s="25">
        <f t="shared" si="32"/>
        <v>18370411</v>
      </c>
    </row>
    <row r="149" spans="1:55" ht="11.25" customHeight="1" outlineLevel="1">
      <c r="A149" s="6" t="s">
        <v>148</v>
      </c>
      <c r="B149" s="6"/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26">
        <v>0</v>
      </c>
      <c r="J149" s="26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1">
        <v>0</v>
      </c>
      <c r="Q149" s="15">
        <v>0</v>
      </c>
      <c r="R149" s="15">
        <v>0</v>
      </c>
      <c r="S149" s="15">
        <v>0</v>
      </c>
      <c r="T149" s="15">
        <v>143093</v>
      </c>
      <c r="U149" s="15">
        <v>0</v>
      </c>
      <c r="V149" s="15">
        <v>92270</v>
      </c>
      <c r="W149" s="15">
        <v>8662</v>
      </c>
      <c r="X149" s="15">
        <v>-68225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45243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/>
      <c r="AZ149" s="12">
        <f t="shared" si="30"/>
        <v>221043</v>
      </c>
      <c r="BA149" s="12"/>
      <c r="BB149" s="25">
        <f t="shared" si="31"/>
        <v>0</v>
      </c>
      <c r="BC149" s="25">
        <f t="shared" si="32"/>
        <v>221043</v>
      </c>
    </row>
    <row r="150" spans="1:55" ht="11.25" customHeight="1" outlineLevel="1">
      <c r="A150" s="6" t="s">
        <v>149</v>
      </c>
      <c r="B150" s="6"/>
      <c r="C150" s="15">
        <v>0</v>
      </c>
      <c r="D150" s="15">
        <v>0</v>
      </c>
      <c r="E150" s="15">
        <v>17406</v>
      </c>
      <c r="F150" s="15">
        <v>3320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32745</v>
      </c>
      <c r="M150" s="15">
        <v>0</v>
      </c>
      <c r="N150" s="15">
        <v>1861</v>
      </c>
      <c r="O150" s="15">
        <v>0</v>
      </c>
      <c r="P150" s="11">
        <v>0</v>
      </c>
      <c r="Q150" s="15">
        <v>0</v>
      </c>
      <c r="R150" s="15">
        <v>0</v>
      </c>
      <c r="S150" s="15">
        <v>16457</v>
      </c>
      <c r="T150" s="15">
        <v>3184</v>
      </c>
      <c r="U150" s="15">
        <v>0</v>
      </c>
      <c r="V150" s="15">
        <v>0</v>
      </c>
      <c r="W150" s="15">
        <v>0</v>
      </c>
      <c r="X150" s="15">
        <v>0</v>
      </c>
      <c r="Y150" s="15">
        <v>476</v>
      </c>
      <c r="Z150" s="15">
        <v>658</v>
      </c>
      <c r="AA150" s="15">
        <v>116</v>
      </c>
      <c r="AB150" s="15">
        <v>535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707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/>
      <c r="AZ150" s="12">
        <f t="shared" si="30"/>
        <v>77465</v>
      </c>
      <c r="BA150" s="12"/>
      <c r="BB150" s="25">
        <f t="shared" si="31"/>
        <v>1183</v>
      </c>
      <c r="BC150" s="25">
        <f t="shared" si="32"/>
        <v>76282</v>
      </c>
    </row>
    <row r="151" spans="1:55" ht="11.25" customHeight="1" outlineLevel="1">
      <c r="A151" s="6" t="s">
        <v>150</v>
      </c>
      <c r="B151" s="6"/>
      <c r="C151" s="15">
        <v>2140</v>
      </c>
      <c r="D151" s="15">
        <v>2140</v>
      </c>
      <c r="E151" s="15">
        <v>0</v>
      </c>
      <c r="F151" s="15">
        <v>0</v>
      </c>
      <c r="G151" s="15">
        <v>0</v>
      </c>
      <c r="H151" s="15">
        <v>0</v>
      </c>
      <c r="I151" s="26">
        <v>0</v>
      </c>
      <c r="J151" s="26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1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/>
      <c r="AZ151" s="12">
        <f t="shared" si="30"/>
        <v>4280</v>
      </c>
      <c r="BA151" s="12"/>
      <c r="BB151" s="25">
        <f t="shared" si="31"/>
        <v>2140</v>
      </c>
      <c r="BC151" s="25">
        <f t="shared" si="32"/>
        <v>2140</v>
      </c>
    </row>
    <row r="152" spans="1:55" ht="11.25" customHeight="1" outlineLevel="1">
      <c r="A152" s="6" t="s">
        <v>151</v>
      </c>
      <c r="B152" s="6"/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/>
      <c r="AZ152" s="12">
        <f t="shared" si="30"/>
        <v>0</v>
      </c>
      <c r="BA152" s="12"/>
      <c r="BB152" s="25">
        <f t="shared" si="31"/>
        <v>0</v>
      </c>
      <c r="BC152" s="25">
        <f t="shared" si="32"/>
        <v>0</v>
      </c>
    </row>
    <row r="153" spans="1:55" ht="11.25" customHeight="1">
      <c r="A153" s="4" t="s">
        <v>152</v>
      </c>
      <c r="B153" s="4"/>
      <c r="C153" s="15">
        <f aca="true" t="shared" si="33" ref="C153:AX153">SUM(C146:C152)</f>
        <v>24176864</v>
      </c>
      <c r="D153" s="15">
        <f t="shared" si="33"/>
        <v>44957290</v>
      </c>
      <c r="E153" s="15">
        <f t="shared" si="33"/>
        <v>57946476</v>
      </c>
      <c r="F153" s="15">
        <f t="shared" si="33"/>
        <v>51846245</v>
      </c>
      <c r="G153" s="15">
        <f t="shared" si="33"/>
        <v>0</v>
      </c>
      <c r="H153" s="15">
        <f t="shared" si="33"/>
        <v>28216817</v>
      </c>
      <c r="I153" s="15">
        <f t="shared" si="33"/>
        <v>5696288</v>
      </c>
      <c r="J153" s="15">
        <f t="shared" si="33"/>
        <v>1504369</v>
      </c>
      <c r="K153" s="15">
        <f t="shared" si="33"/>
        <v>3409155</v>
      </c>
      <c r="L153" s="15">
        <f t="shared" si="33"/>
        <v>17751141</v>
      </c>
      <c r="M153" s="15">
        <f t="shared" si="33"/>
        <v>6369306</v>
      </c>
      <c r="N153" s="15">
        <f t="shared" si="33"/>
        <v>24349001</v>
      </c>
      <c r="O153" s="15">
        <f t="shared" si="33"/>
        <v>6636732</v>
      </c>
      <c r="P153" s="15">
        <f t="shared" si="33"/>
        <v>14802045</v>
      </c>
      <c r="Q153" s="15">
        <f t="shared" si="33"/>
        <v>13436957</v>
      </c>
      <c r="R153" s="15">
        <f t="shared" si="33"/>
        <v>5819917</v>
      </c>
      <c r="S153" s="15">
        <f t="shared" si="33"/>
        <v>9647665</v>
      </c>
      <c r="T153" s="15">
        <f t="shared" si="33"/>
        <v>22211973</v>
      </c>
      <c r="U153" s="15">
        <f t="shared" si="33"/>
        <v>9573599</v>
      </c>
      <c r="V153" s="15">
        <f t="shared" si="33"/>
        <v>5829861</v>
      </c>
      <c r="W153" s="15">
        <f t="shared" si="33"/>
        <v>545101</v>
      </c>
      <c r="X153" s="15">
        <f t="shared" si="33"/>
        <v>2541057</v>
      </c>
      <c r="Y153" s="15">
        <f t="shared" si="33"/>
        <v>6330755</v>
      </c>
      <c r="Z153" s="15">
        <f t="shared" si="33"/>
        <v>2664312</v>
      </c>
      <c r="AA153" s="15">
        <f t="shared" si="33"/>
        <v>8438587</v>
      </c>
      <c r="AB153" s="15">
        <f t="shared" si="33"/>
        <v>9942936</v>
      </c>
      <c r="AC153" s="15">
        <f t="shared" si="33"/>
        <v>2599463</v>
      </c>
      <c r="AD153" s="15">
        <f t="shared" si="33"/>
        <v>3405553</v>
      </c>
      <c r="AE153" s="15">
        <f t="shared" si="33"/>
        <v>1105982</v>
      </c>
      <c r="AF153" s="15">
        <f t="shared" si="33"/>
        <v>1181541</v>
      </c>
      <c r="AG153" s="15">
        <f t="shared" si="33"/>
        <v>2621445</v>
      </c>
      <c r="AH153" s="15">
        <f t="shared" si="33"/>
        <v>142487</v>
      </c>
      <c r="AI153" s="15">
        <f t="shared" si="33"/>
        <v>2235600</v>
      </c>
      <c r="AJ153" s="15">
        <f t="shared" si="33"/>
        <v>256318</v>
      </c>
      <c r="AK153" s="15">
        <f t="shared" si="33"/>
        <v>1642398</v>
      </c>
      <c r="AL153" s="15">
        <f t="shared" si="33"/>
        <v>154037</v>
      </c>
      <c r="AM153" s="15">
        <f t="shared" si="33"/>
        <v>607057</v>
      </c>
      <c r="AN153" s="15">
        <f t="shared" si="33"/>
        <v>1538433</v>
      </c>
      <c r="AO153" s="15">
        <f t="shared" si="33"/>
        <v>623741</v>
      </c>
      <c r="AP153" s="15">
        <f t="shared" si="33"/>
        <v>455520</v>
      </c>
      <c r="AQ153" s="15">
        <f t="shared" si="33"/>
        <v>536434</v>
      </c>
      <c r="AR153" s="15">
        <f t="shared" si="33"/>
        <v>45243</v>
      </c>
      <c r="AS153" s="15">
        <f t="shared" si="33"/>
        <v>632207</v>
      </c>
      <c r="AT153" s="15">
        <f t="shared" si="33"/>
        <v>50608</v>
      </c>
      <c r="AU153" s="15">
        <f t="shared" si="33"/>
        <v>166587</v>
      </c>
      <c r="AV153" s="15">
        <f t="shared" si="33"/>
        <v>269174</v>
      </c>
      <c r="AW153" s="15">
        <f t="shared" si="33"/>
        <v>0</v>
      </c>
      <c r="AX153" s="15">
        <f t="shared" si="33"/>
        <v>0</v>
      </c>
      <c r="AY153" s="15"/>
      <c r="AZ153" s="15">
        <f>SUM(AZ146:AZ152)</f>
        <v>404914277</v>
      </c>
      <c r="BA153" s="15"/>
      <c r="BB153" s="15">
        <f>SUM(BB146:BB152)</f>
        <v>59054491</v>
      </c>
      <c r="BC153" s="15">
        <f>SUM(BC146:BC152)</f>
        <v>345859786</v>
      </c>
    </row>
    <row r="154" spans="1:55" ht="11.25" customHeight="1">
      <c r="A154" s="6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2"/>
      <c r="BB154" s="15"/>
      <c r="BC154" s="15"/>
    </row>
    <row r="155" spans="1:55" ht="11.25" customHeight="1">
      <c r="A155" s="4" t="s">
        <v>153</v>
      </c>
      <c r="B155" s="4"/>
      <c r="C155" s="15">
        <f aca="true" t="shared" si="34" ref="C155:AX155">+C143-C153</f>
        <v>-19378</v>
      </c>
      <c r="D155" s="15">
        <f t="shared" si="34"/>
        <v>-3239289</v>
      </c>
      <c r="E155" s="15">
        <f t="shared" si="34"/>
        <v>-1899170</v>
      </c>
      <c r="F155" s="15">
        <f t="shared" si="34"/>
        <v>-986816</v>
      </c>
      <c r="G155" s="15">
        <f t="shared" si="34"/>
        <v>0</v>
      </c>
      <c r="H155" s="15">
        <f t="shared" si="34"/>
        <v>-153616</v>
      </c>
      <c r="I155" s="15">
        <f t="shared" si="34"/>
        <v>114974</v>
      </c>
      <c r="J155" s="15">
        <f t="shared" si="34"/>
        <v>-880</v>
      </c>
      <c r="K155" s="15">
        <f t="shared" si="34"/>
        <v>-49882</v>
      </c>
      <c r="L155" s="15">
        <f t="shared" si="34"/>
        <v>-324623</v>
      </c>
      <c r="M155" s="15">
        <f t="shared" si="34"/>
        <v>422759</v>
      </c>
      <c r="N155" s="15">
        <f t="shared" si="34"/>
        <v>-135535</v>
      </c>
      <c r="O155" s="15">
        <f t="shared" si="34"/>
        <v>-244942</v>
      </c>
      <c r="P155" s="15">
        <f t="shared" si="34"/>
        <v>-832947</v>
      </c>
      <c r="Q155" s="15">
        <f t="shared" si="34"/>
        <v>-174092</v>
      </c>
      <c r="R155" s="15">
        <f t="shared" si="34"/>
        <v>-60856</v>
      </c>
      <c r="S155" s="15">
        <f t="shared" si="34"/>
        <v>-454956</v>
      </c>
      <c r="T155" s="15">
        <f t="shared" si="34"/>
        <v>34569</v>
      </c>
      <c r="U155" s="15">
        <f t="shared" si="34"/>
        <v>-9901</v>
      </c>
      <c r="V155" s="15">
        <f t="shared" si="34"/>
        <v>-15840</v>
      </c>
      <c r="W155" s="15">
        <f t="shared" si="34"/>
        <v>696</v>
      </c>
      <c r="X155" s="15">
        <f t="shared" si="34"/>
        <v>-4511</v>
      </c>
      <c r="Y155" s="15">
        <f t="shared" si="34"/>
        <v>-814791</v>
      </c>
      <c r="Z155" s="15">
        <f t="shared" si="34"/>
        <v>-101100</v>
      </c>
      <c r="AA155" s="15">
        <f t="shared" si="34"/>
        <v>-57500</v>
      </c>
      <c r="AB155" s="15">
        <f t="shared" si="34"/>
        <v>-308860</v>
      </c>
      <c r="AC155" s="15">
        <f t="shared" si="34"/>
        <v>33348</v>
      </c>
      <c r="AD155" s="15">
        <f t="shared" si="34"/>
        <v>-17121</v>
      </c>
      <c r="AE155" s="15">
        <f t="shared" si="34"/>
        <v>18233</v>
      </c>
      <c r="AF155" s="15">
        <f t="shared" si="34"/>
        <v>-79347</v>
      </c>
      <c r="AG155" s="15">
        <f t="shared" si="34"/>
        <v>417</v>
      </c>
      <c r="AH155" s="15">
        <f t="shared" si="34"/>
        <v>-317</v>
      </c>
      <c r="AI155" s="15">
        <f t="shared" si="34"/>
        <v>-44663</v>
      </c>
      <c r="AJ155" s="15">
        <f t="shared" si="34"/>
        <v>-19994</v>
      </c>
      <c r="AK155" s="15">
        <f t="shared" si="34"/>
        <v>-19875</v>
      </c>
      <c r="AL155" s="15">
        <f t="shared" si="34"/>
        <v>-3384</v>
      </c>
      <c r="AM155" s="15">
        <f t="shared" si="34"/>
        <v>-17517</v>
      </c>
      <c r="AN155" s="15">
        <f t="shared" si="34"/>
        <v>-27007</v>
      </c>
      <c r="AO155" s="15">
        <f t="shared" si="34"/>
        <v>908</v>
      </c>
      <c r="AP155" s="15">
        <f t="shared" si="34"/>
        <v>-1516</v>
      </c>
      <c r="AQ155" s="15">
        <f t="shared" si="34"/>
        <v>-5412</v>
      </c>
      <c r="AR155" s="15">
        <f t="shared" si="34"/>
        <v>89690</v>
      </c>
      <c r="AS155" s="15">
        <f t="shared" si="34"/>
        <v>3443</v>
      </c>
      <c r="AT155" s="15">
        <f t="shared" si="34"/>
        <v>-25082</v>
      </c>
      <c r="AU155" s="15">
        <f t="shared" si="34"/>
        <v>4039</v>
      </c>
      <c r="AV155" s="15">
        <f t="shared" si="34"/>
        <v>-19180</v>
      </c>
      <c r="AW155" s="15">
        <f t="shared" si="34"/>
        <v>9525</v>
      </c>
      <c r="AX155" s="15">
        <f t="shared" si="34"/>
        <v>-24359</v>
      </c>
      <c r="AY155" s="26"/>
      <c r="AZ155" s="15">
        <f>+AZ143-AZ153</f>
        <v>-9461658</v>
      </c>
      <c r="BA155" s="12"/>
      <c r="BB155" s="15">
        <f>+BB143-BB153</f>
        <v>-4074175</v>
      </c>
      <c r="BC155" s="15">
        <f>+BC143-BC153</f>
        <v>-5387483</v>
      </c>
    </row>
    <row r="156" spans="1:55" ht="11.25" customHeight="1">
      <c r="A156" s="4"/>
      <c r="B156" s="4"/>
      <c r="C156" s="12"/>
      <c r="D156" s="12"/>
      <c r="E156" s="12"/>
      <c r="F156" s="12"/>
      <c r="G156" s="12"/>
      <c r="H156" s="12"/>
      <c r="I156" s="15"/>
      <c r="J156" s="1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5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1.25" customHeight="1">
      <c r="A157" s="4" t="s">
        <v>154</v>
      </c>
      <c r="B157" s="4"/>
      <c r="C157" s="26">
        <v>1157812</v>
      </c>
      <c r="D157" s="26">
        <v>3240856</v>
      </c>
      <c r="E157" s="11">
        <v>3428436</v>
      </c>
      <c r="F157" s="26">
        <v>1974555</v>
      </c>
      <c r="G157" s="26">
        <v>0</v>
      </c>
      <c r="H157" s="26">
        <v>492220</v>
      </c>
      <c r="I157" s="15">
        <v>58005</v>
      </c>
      <c r="J157" s="15">
        <v>5634</v>
      </c>
      <c r="K157" s="26">
        <v>118141</v>
      </c>
      <c r="L157" s="26">
        <v>1010924</v>
      </c>
      <c r="M157" s="26">
        <v>45679</v>
      </c>
      <c r="N157" s="26">
        <v>488342</v>
      </c>
      <c r="O157" s="26">
        <v>626855</v>
      </c>
      <c r="P157" s="11">
        <v>1006493</v>
      </c>
      <c r="Q157" s="26">
        <v>295814</v>
      </c>
      <c r="R157" s="26">
        <v>190609</v>
      </c>
      <c r="S157" s="26">
        <v>757303</v>
      </c>
      <c r="T157" s="26">
        <v>46587</v>
      </c>
      <c r="U157" s="26">
        <v>65667</v>
      </c>
      <c r="V157" s="11">
        <v>185589</v>
      </c>
      <c r="W157" s="26">
        <v>15239</v>
      </c>
      <c r="X157" s="26">
        <v>6095</v>
      </c>
      <c r="Y157" s="26">
        <v>814791</v>
      </c>
      <c r="Z157" s="11">
        <v>181519</v>
      </c>
      <c r="AA157" s="11">
        <v>87501</v>
      </c>
      <c r="AB157" s="26">
        <v>324787</v>
      </c>
      <c r="AC157" s="11">
        <v>159562</v>
      </c>
      <c r="AD157" s="26">
        <v>50089</v>
      </c>
      <c r="AE157" s="26">
        <v>2816</v>
      </c>
      <c r="AF157" s="26">
        <v>502739</v>
      </c>
      <c r="AG157" s="26">
        <v>791</v>
      </c>
      <c r="AH157" s="26">
        <v>468</v>
      </c>
      <c r="AI157" s="26">
        <v>46345</v>
      </c>
      <c r="AJ157" s="26">
        <v>20109</v>
      </c>
      <c r="AK157" s="26">
        <v>92000</v>
      </c>
      <c r="AL157" s="11">
        <v>4456</v>
      </c>
      <c r="AM157" s="26">
        <v>32796</v>
      </c>
      <c r="AN157" s="26">
        <v>28117</v>
      </c>
      <c r="AO157" s="26">
        <v>1714</v>
      </c>
      <c r="AP157" s="26">
        <v>72058</v>
      </c>
      <c r="AQ157" s="26">
        <v>5758</v>
      </c>
      <c r="AR157" s="26">
        <v>12681</v>
      </c>
      <c r="AS157" s="26">
        <v>1247</v>
      </c>
      <c r="AT157" s="26">
        <v>73842</v>
      </c>
      <c r="AU157" s="11">
        <v>10346</v>
      </c>
      <c r="AV157" s="26">
        <v>30876</v>
      </c>
      <c r="AW157" s="26">
        <v>52355</v>
      </c>
      <c r="AX157" s="26">
        <v>38303</v>
      </c>
      <c r="AY157" s="26"/>
      <c r="AZ157" s="12">
        <f>SUM(C157:AY157)</f>
        <v>17864921</v>
      </c>
      <c r="BA157" s="12"/>
      <c r="BB157" s="25">
        <f>SUMIF($C$163:$AX$163,"já",C157:AX157)</f>
        <v>4553397</v>
      </c>
      <c r="BC157" s="25">
        <f>SUMIF($C$163:$AX$163,"nei",C157:AX157)</f>
        <v>13311524</v>
      </c>
    </row>
    <row r="158" spans="1:55" ht="11.25" customHeight="1">
      <c r="A158" s="7"/>
      <c r="B158" s="7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14"/>
      <c r="BA158" s="14"/>
      <c r="BB158" s="14"/>
      <c r="BC158" s="14"/>
    </row>
    <row r="159" spans="1:55" s="37" customFormat="1" ht="10.5" customHeight="1">
      <c r="A159" s="8" t="s">
        <v>155</v>
      </c>
      <c r="B159" s="8"/>
      <c r="C159" s="353">
        <f aca="true" t="shared" si="35" ref="C159:AX159">+C155+C157</f>
        <v>1138434</v>
      </c>
      <c r="D159" s="353">
        <f t="shared" si="35"/>
        <v>1567</v>
      </c>
      <c r="E159" s="353">
        <f t="shared" si="35"/>
        <v>1529266</v>
      </c>
      <c r="F159" s="353">
        <f t="shared" si="35"/>
        <v>987739</v>
      </c>
      <c r="G159" s="353">
        <f t="shared" si="35"/>
        <v>0</v>
      </c>
      <c r="H159" s="353">
        <f t="shared" si="35"/>
        <v>338604</v>
      </c>
      <c r="I159" s="353">
        <f t="shared" si="35"/>
        <v>172979</v>
      </c>
      <c r="J159" s="353">
        <f t="shared" si="35"/>
        <v>4754</v>
      </c>
      <c r="K159" s="353">
        <f t="shared" si="35"/>
        <v>68259</v>
      </c>
      <c r="L159" s="353">
        <f t="shared" si="35"/>
        <v>686301</v>
      </c>
      <c r="M159" s="353">
        <f t="shared" si="35"/>
        <v>468438</v>
      </c>
      <c r="N159" s="353">
        <f t="shared" si="35"/>
        <v>352807</v>
      </c>
      <c r="O159" s="353">
        <f t="shared" si="35"/>
        <v>381913</v>
      </c>
      <c r="P159" s="353">
        <f t="shared" si="35"/>
        <v>173546</v>
      </c>
      <c r="Q159" s="353">
        <f t="shared" si="35"/>
        <v>121722</v>
      </c>
      <c r="R159" s="353">
        <f t="shared" si="35"/>
        <v>129753</v>
      </c>
      <c r="S159" s="353">
        <f t="shared" si="35"/>
        <v>302347</v>
      </c>
      <c r="T159" s="353">
        <f t="shared" si="35"/>
        <v>81156</v>
      </c>
      <c r="U159" s="353">
        <f t="shared" si="35"/>
        <v>55766</v>
      </c>
      <c r="V159" s="353">
        <f t="shared" si="35"/>
        <v>169749</v>
      </c>
      <c r="W159" s="353">
        <f t="shared" si="35"/>
        <v>15935</v>
      </c>
      <c r="X159" s="353">
        <f t="shared" si="35"/>
        <v>1584</v>
      </c>
      <c r="Y159" s="353">
        <f t="shared" si="35"/>
        <v>0</v>
      </c>
      <c r="Z159" s="353">
        <f t="shared" si="35"/>
        <v>80419</v>
      </c>
      <c r="AA159" s="353">
        <f t="shared" si="35"/>
        <v>30001</v>
      </c>
      <c r="AB159" s="353">
        <f t="shared" si="35"/>
        <v>15927</v>
      </c>
      <c r="AC159" s="353">
        <f t="shared" si="35"/>
        <v>192910</v>
      </c>
      <c r="AD159" s="353">
        <f t="shared" si="35"/>
        <v>32968</v>
      </c>
      <c r="AE159" s="353">
        <f t="shared" si="35"/>
        <v>21049</v>
      </c>
      <c r="AF159" s="353">
        <f t="shared" si="35"/>
        <v>423392</v>
      </c>
      <c r="AG159" s="353">
        <f t="shared" si="35"/>
        <v>1208</v>
      </c>
      <c r="AH159" s="353">
        <f t="shared" si="35"/>
        <v>151</v>
      </c>
      <c r="AI159" s="353">
        <f t="shared" si="35"/>
        <v>1682</v>
      </c>
      <c r="AJ159" s="353">
        <f t="shared" si="35"/>
        <v>115</v>
      </c>
      <c r="AK159" s="353">
        <f t="shared" si="35"/>
        <v>72125</v>
      </c>
      <c r="AL159" s="353">
        <f t="shared" si="35"/>
        <v>1072</v>
      </c>
      <c r="AM159" s="353">
        <f t="shared" si="35"/>
        <v>15279</v>
      </c>
      <c r="AN159" s="353">
        <f t="shared" si="35"/>
        <v>1110</v>
      </c>
      <c r="AO159" s="353">
        <f t="shared" si="35"/>
        <v>2622</v>
      </c>
      <c r="AP159" s="353">
        <f t="shared" si="35"/>
        <v>70542</v>
      </c>
      <c r="AQ159" s="353">
        <f t="shared" si="35"/>
        <v>346</v>
      </c>
      <c r="AR159" s="353">
        <f t="shared" si="35"/>
        <v>102371</v>
      </c>
      <c r="AS159" s="353">
        <f t="shared" si="35"/>
        <v>4690</v>
      </c>
      <c r="AT159" s="353">
        <f t="shared" si="35"/>
        <v>48760</v>
      </c>
      <c r="AU159" s="353">
        <f t="shared" si="35"/>
        <v>14385</v>
      </c>
      <c r="AV159" s="353">
        <f t="shared" si="35"/>
        <v>11696</v>
      </c>
      <c r="AW159" s="353">
        <f t="shared" si="35"/>
        <v>61880</v>
      </c>
      <c r="AX159" s="353">
        <f t="shared" si="35"/>
        <v>13944</v>
      </c>
      <c r="AY159" s="353"/>
      <c r="AZ159" s="353">
        <f>+AZ155+AZ157</f>
        <v>8403263</v>
      </c>
      <c r="BA159" s="353"/>
      <c r="BB159" s="353">
        <f>+BB155+BB157</f>
        <v>479222</v>
      </c>
      <c r="BC159" s="353">
        <f>+BC155+BC157</f>
        <v>7924041</v>
      </c>
    </row>
    <row r="160" spans="1:55" ht="12.75" customHeight="1">
      <c r="A160" s="11" t="s">
        <v>156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12"/>
      <c r="AZ160" s="12"/>
      <c r="BB160" s="37"/>
      <c r="BC160" s="37"/>
    </row>
    <row r="161" spans="1:55" ht="11.25" customHeight="1">
      <c r="A161" s="11" t="s">
        <v>157</v>
      </c>
      <c r="C161" s="15">
        <f aca="true" t="shared" si="36" ref="C161:AX161">+C64-C119</f>
        <v>0</v>
      </c>
      <c r="D161" s="15">
        <f t="shared" si="36"/>
        <v>0</v>
      </c>
      <c r="E161" s="15">
        <f t="shared" si="36"/>
        <v>0</v>
      </c>
      <c r="F161" s="15">
        <f t="shared" si="36"/>
        <v>0</v>
      </c>
      <c r="G161" s="15">
        <f t="shared" si="36"/>
        <v>0</v>
      </c>
      <c r="H161" s="15">
        <f t="shared" si="36"/>
        <v>0</v>
      </c>
      <c r="I161" s="15">
        <f t="shared" si="36"/>
        <v>0</v>
      </c>
      <c r="J161" s="15">
        <f t="shared" si="36"/>
        <v>-2</v>
      </c>
      <c r="K161" s="15">
        <f t="shared" si="36"/>
        <v>-1</v>
      </c>
      <c r="L161" s="15">
        <f t="shared" si="36"/>
        <v>0</v>
      </c>
      <c r="M161" s="15">
        <f t="shared" si="36"/>
        <v>0</v>
      </c>
      <c r="N161" s="15">
        <f t="shared" si="36"/>
        <v>0</v>
      </c>
      <c r="O161" s="15">
        <f t="shared" si="36"/>
        <v>0</v>
      </c>
      <c r="P161" s="15">
        <f t="shared" si="36"/>
        <v>0</v>
      </c>
      <c r="Q161" s="15">
        <f t="shared" si="36"/>
        <v>0</v>
      </c>
      <c r="R161" s="15">
        <f t="shared" si="36"/>
        <v>0</v>
      </c>
      <c r="S161" s="15">
        <f t="shared" si="36"/>
        <v>0</v>
      </c>
      <c r="T161" s="15">
        <f t="shared" si="36"/>
        <v>0</v>
      </c>
      <c r="U161" s="15">
        <f t="shared" si="36"/>
        <v>0</v>
      </c>
      <c r="V161" s="15">
        <f t="shared" si="36"/>
        <v>0</v>
      </c>
      <c r="W161" s="15">
        <f t="shared" si="36"/>
        <v>1</v>
      </c>
      <c r="X161" s="15">
        <f t="shared" si="36"/>
        <v>0</v>
      </c>
      <c r="Y161" s="15">
        <f t="shared" si="36"/>
        <v>0</v>
      </c>
      <c r="Z161" s="15">
        <f t="shared" si="36"/>
        <v>0</v>
      </c>
      <c r="AA161" s="15">
        <f t="shared" si="36"/>
        <v>0</v>
      </c>
      <c r="AB161" s="15">
        <f t="shared" si="36"/>
        <v>0</v>
      </c>
      <c r="AC161" s="15">
        <f t="shared" si="36"/>
        <v>1</v>
      </c>
      <c r="AD161" s="15">
        <f t="shared" si="36"/>
        <v>0</v>
      </c>
      <c r="AE161" s="15">
        <f t="shared" si="36"/>
        <v>0</v>
      </c>
      <c r="AF161" s="15">
        <f t="shared" si="36"/>
        <v>0</v>
      </c>
      <c r="AG161" s="15">
        <f t="shared" si="36"/>
        <v>1</v>
      </c>
      <c r="AH161" s="15">
        <f t="shared" si="36"/>
        <v>0</v>
      </c>
      <c r="AI161" s="15">
        <f t="shared" si="36"/>
        <v>-1</v>
      </c>
      <c r="AJ161" s="15">
        <f t="shared" si="36"/>
        <v>0</v>
      </c>
      <c r="AK161" s="15">
        <f t="shared" si="36"/>
        <v>-1</v>
      </c>
      <c r="AL161" s="15">
        <f t="shared" si="36"/>
        <v>0</v>
      </c>
      <c r="AM161" s="15">
        <f t="shared" si="36"/>
        <v>0</v>
      </c>
      <c r="AN161" s="15">
        <f t="shared" si="36"/>
        <v>0</v>
      </c>
      <c r="AO161" s="15">
        <f t="shared" si="36"/>
        <v>0</v>
      </c>
      <c r="AP161" s="15">
        <f t="shared" si="36"/>
        <v>0</v>
      </c>
      <c r="AQ161" s="15">
        <f t="shared" si="36"/>
        <v>0</v>
      </c>
      <c r="AR161" s="15">
        <f t="shared" si="36"/>
        <v>-2</v>
      </c>
      <c r="AS161" s="15">
        <f t="shared" si="36"/>
        <v>0</v>
      </c>
      <c r="AT161" s="15">
        <f t="shared" si="36"/>
        <v>0</v>
      </c>
      <c r="AU161" s="15">
        <f t="shared" si="36"/>
        <v>0</v>
      </c>
      <c r="AV161" s="15">
        <f t="shared" si="36"/>
        <v>0</v>
      </c>
      <c r="AW161" s="15">
        <f t="shared" si="36"/>
        <v>-1</v>
      </c>
      <c r="AX161" s="15">
        <f t="shared" si="36"/>
        <v>0</v>
      </c>
      <c r="AY161" s="15"/>
      <c r="AZ161" s="12">
        <f>SUM(I161:AX161)</f>
        <v>-5</v>
      </c>
      <c r="BA161" s="15"/>
      <c r="BB161" s="15">
        <f>+BB64-BB119</f>
        <v>-1</v>
      </c>
      <c r="BC161" s="15">
        <f>+BC64-BC119</f>
        <v>-4</v>
      </c>
    </row>
    <row r="162" spans="1:55" ht="11.25" customHeight="1">
      <c r="A162" s="11" t="s">
        <v>158</v>
      </c>
      <c r="C162" s="15">
        <f aca="true" t="shared" si="37" ref="C162:AX162">+C159-C97</f>
        <v>0</v>
      </c>
      <c r="D162" s="15">
        <f t="shared" si="37"/>
        <v>0</v>
      </c>
      <c r="E162" s="15">
        <f t="shared" si="37"/>
        <v>0</v>
      </c>
      <c r="F162" s="15">
        <f t="shared" si="37"/>
        <v>0</v>
      </c>
      <c r="G162" s="15">
        <f t="shared" si="37"/>
        <v>0</v>
      </c>
      <c r="H162" s="15">
        <f t="shared" si="37"/>
        <v>0</v>
      </c>
      <c r="I162" s="15">
        <f t="shared" si="37"/>
        <v>-1</v>
      </c>
      <c r="J162" s="15">
        <f t="shared" si="37"/>
        <v>-1</v>
      </c>
      <c r="K162" s="15">
        <f t="shared" si="37"/>
        <v>-1</v>
      </c>
      <c r="L162" s="15">
        <f t="shared" si="37"/>
        <v>-1</v>
      </c>
      <c r="M162" s="15">
        <f t="shared" si="37"/>
        <v>0</v>
      </c>
      <c r="N162" s="15">
        <f t="shared" si="37"/>
        <v>0</v>
      </c>
      <c r="O162" s="15">
        <f t="shared" si="37"/>
        <v>0</v>
      </c>
      <c r="P162" s="15">
        <f t="shared" si="37"/>
        <v>0</v>
      </c>
      <c r="Q162" s="15">
        <f t="shared" si="37"/>
        <v>0</v>
      </c>
      <c r="R162" s="15">
        <f t="shared" si="37"/>
        <v>0</v>
      </c>
      <c r="S162" s="15">
        <f t="shared" si="37"/>
        <v>0</v>
      </c>
      <c r="T162" s="15">
        <f t="shared" si="37"/>
        <v>0</v>
      </c>
      <c r="U162" s="15">
        <f t="shared" si="37"/>
        <v>-1</v>
      </c>
      <c r="V162" s="15">
        <f t="shared" si="37"/>
        <v>-1</v>
      </c>
      <c r="W162" s="15">
        <f t="shared" si="37"/>
        <v>0</v>
      </c>
      <c r="X162" s="15">
        <f t="shared" si="37"/>
        <v>0</v>
      </c>
      <c r="Y162" s="15">
        <f t="shared" si="37"/>
        <v>0</v>
      </c>
      <c r="Z162" s="15">
        <f t="shared" si="37"/>
        <v>1</v>
      </c>
      <c r="AA162" s="15">
        <f t="shared" si="37"/>
        <v>1</v>
      </c>
      <c r="AB162" s="15">
        <f t="shared" si="37"/>
        <v>0</v>
      </c>
      <c r="AC162" s="15">
        <f t="shared" si="37"/>
        <v>1</v>
      </c>
      <c r="AD162" s="15">
        <f t="shared" si="37"/>
        <v>0</v>
      </c>
      <c r="AE162" s="15">
        <f t="shared" si="37"/>
        <v>0</v>
      </c>
      <c r="AF162" s="15">
        <f t="shared" si="37"/>
        <v>0</v>
      </c>
      <c r="AG162" s="15">
        <f t="shared" si="37"/>
        <v>0</v>
      </c>
      <c r="AH162" s="15">
        <f t="shared" si="37"/>
        <v>0</v>
      </c>
      <c r="AI162" s="15">
        <f t="shared" si="37"/>
        <v>0</v>
      </c>
      <c r="AJ162" s="15">
        <f t="shared" si="37"/>
        <v>0</v>
      </c>
      <c r="AK162" s="15">
        <f t="shared" si="37"/>
        <v>0</v>
      </c>
      <c r="AL162" s="15">
        <f t="shared" si="37"/>
        <v>0</v>
      </c>
      <c r="AM162" s="15">
        <f t="shared" si="37"/>
        <v>0</v>
      </c>
      <c r="AN162" s="15">
        <f t="shared" si="37"/>
        <v>0</v>
      </c>
      <c r="AO162" s="15">
        <f t="shared" si="37"/>
        <v>0</v>
      </c>
      <c r="AP162" s="15">
        <f t="shared" si="37"/>
        <v>0</v>
      </c>
      <c r="AQ162" s="15">
        <f t="shared" si="37"/>
        <v>0</v>
      </c>
      <c r="AR162" s="15">
        <f t="shared" si="37"/>
        <v>-1</v>
      </c>
      <c r="AS162" s="15">
        <f t="shared" si="37"/>
        <v>0</v>
      </c>
      <c r="AT162" s="15">
        <f t="shared" si="37"/>
        <v>0</v>
      </c>
      <c r="AU162" s="15">
        <f t="shared" si="37"/>
        <v>0</v>
      </c>
      <c r="AV162" s="15">
        <f t="shared" si="37"/>
        <v>0</v>
      </c>
      <c r="AW162" s="15">
        <f t="shared" si="37"/>
        <v>0</v>
      </c>
      <c r="AX162" s="15">
        <f t="shared" si="37"/>
        <v>0</v>
      </c>
      <c r="AY162" s="15"/>
      <c r="AZ162" s="12">
        <f>SUM(I162:AX162)</f>
        <v>-4</v>
      </c>
      <c r="BA162" s="15"/>
      <c r="BB162" s="15">
        <f>+BB159-BB97</f>
        <v>1</v>
      </c>
      <c r="BC162" s="15">
        <f>+BC159-BC97</f>
        <v>-5</v>
      </c>
    </row>
    <row r="163" spans="1:55" ht="11.25" customHeight="1">
      <c r="A163" s="37" t="s">
        <v>20</v>
      </c>
      <c r="B163" s="1"/>
      <c r="C163" s="2" t="s">
        <v>21</v>
      </c>
      <c r="D163" s="2" t="s">
        <v>22</v>
      </c>
      <c r="E163" s="2" t="s">
        <v>21</v>
      </c>
      <c r="F163" s="2" t="s">
        <v>21</v>
      </c>
      <c r="G163" s="2" t="s">
        <v>21</v>
      </c>
      <c r="H163" s="2" t="s">
        <v>21</v>
      </c>
      <c r="I163" s="2" t="s">
        <v>21</v>
      </c>
      <c r="J163" s="2" t="s">
        <v>21</v>
      </c>
      <c r="K163" s="2" t="s">
        <v>21</v>
      </c>
      <c r="L163" s="2" t="s">
        <v>21</v>
      </c>
      <c r="M163" s="2" t="s">
        <v>21</v>
      </c>
      <c r="N163" s="2" t="s">
        <v>21</v>
      </c>
      <c r="O163" s="2" t="s">
        <v>21</v>
      </c>
      <c r="P163" s="2" t="s">
        <v>21</v>
      </c>
      <c r="Q163" s="2" t="s">
        <v>21</v>
      </c>
      <c r="R163" s="2" t="s">
        <v>21</v>
      </c>
      <c r="S163" s="2" t="s">
        <v>21</v>
      </c>
      <c r="T163" s="2" t="s">
        <v>21</v>
      </c>
      <c r="U163" s="2" t="s">
        <v>21</v>
      </c>
      <c r="V163" s="2" t="s">
        <v>21</v>
      </c>
      <c r="W163" s="2" t="s">
        <v>21</v>
      </c>
      <c r="X163" s="2" t="s">
        <v>21</v>
      </c>
      <c r="Y163" s="2" t="s">
        <v>22</v>
      </c>
      <c r="Z163" s="2" t="s">
        <v>21</v>
      </c>
      <c r="AA163" s="2" t="s">
        <v>21</v>
      </c>
      <c r="AB163" s="2" t="s">
        <v>21</v>
      </c>
      <c r="AC163" s="2" t="s">
        <v>22</v>
      </c>
      <c r="AD163" s="2" t="s">
        <v>21</v>
      </c>
      <c r="AE163" s="2" t="s">
        <v>22</v>
      </c>
      <c r="AF163" s="2" t="s">
        <v>21</v>
      </c>
      <c r="AG163" s="2" t="s">
        <v>21</v>
      </c>
      <c r="AH163" s="2" t="s">
        <v>22</v>
      </c>
      <c r="AI163" s="2" t="s">
        <v>21</v>
      </c>
      <c r="AJ163" s="2" t="s">
        <v>21</v>
      </c>
      <c r="AK163" s="2" t="s">
        <v>22</v>
      </c>
      <c r="AL163" s="2" t="s">
        <v>22</v>
      </c>
      <c r="AM163" s="2" t="s">
        <v>22</v>
      </c>
      <c r="AN163" s="2" t="s">
        <v>21</v>
      </c>
      <c r="AO163" s="2" t="s">
        <v>22</v>
      </c>
      <c r="AP163" s="2" t="s">
        <v>22</v>
      </c>
      <c r="AQ163" s="2" t="s">
        <v>21</v>
      </c>
      <c r="AR163" s="2" t="s">
        <v>21</v>
      </c>
      <c r="AS163" s="2" t="s">
        <v>21</v>
      </c>
      <c r="AT163" s="2" t="s">
        <v>21</v>
      </c>
      <c r="AU163" s="2" t="s">
        <v>22</v>
      </c>
      <c r="AV163" s="2" t="s">
        <v>22</v>
      </c>
      <c r="AW163" s="2" t="s">
        <v>22</v>
      </c>
      <c r="AX163" s="2" t="s">
        <v>22</v>
      </c>
      <c r="AY163" s="1"/>
      <c r="AZ163" s="1">
        <f>COUNTIF(C163:AX163,"já")+COUNTIF(C163:AX163,"nei")</f>
        <v>48</v>
      </c>
      <c r="BA163" s="1"/>
      <c r="BB163" s="1">
        <f>COUNTIF($C$163:$AX$163,"já")</f>
        <v>14</v>
      </c>
      <c r="BC163" s="1">
        <f>COUNTIF($C$163:$AX$163,"nei")</f>
        <v>34</v>
      </c>
    </row>
    <row r="164" spans="1:50" ht="11.25" customHeight="1">
      <c r="A164" s="11" t="s">
        <v>456</v>
      </c>
      <c r="C164" s="11" t="s">
        <v>458</v>
      </c>
      <c r="D164" s="11" t="s">
        <v>459</v>
      </c>
      <c r="E164" s="11" t="s">
        <v>460</v>
      </c>
      <c r="F164" s="11" t="s">
        <v>460</v>
      </c>
      <c r="G164" s="11" t="s">
        <v>457</v>
      </c>
      <c r="H164" s="11" t="s">
        <v>458</v>
      </c>
      <c r="I164" s="11" t="s">
        <v>457</v>
      </c>
      <c r="J164" s="11" t="s">
        <v>457</v>
      </c>
      <c r="K164" s="11" t="s">
        <v>457</v>
      </c>
      <c r="L164" s="11" t="s">
        <v>457</v>
      </c>
      <c r="M164" s="11" t="s">
        <v>457</v>
      </c>
      <c r="N164" s="11" t="s">
        <v>458</v>
      </c>
      <c r="O164" s="11" t="s">
        <v>460</v>
      </c>
      <c r="P164" s="11" t="s">
        <v>460</v>
      </c>
      <c r="Q164" s="11" t="s">
        <v>459</v>
      </c>
      <c r="R164" s="11" t="s">
        <v>458</v>
      </c>
      <c r="S164" s="11" t="s">
        <v>460</v>
      </c>
      <c r="T164" s="11" t="s">
        <v>457</v>
      </c>
      <c r="U164" s="11" t="s">
        <v>460</v>
      </c>
      <c r="V164" s="11" t="s">
        <v>458</v>
      </c>
      <c r="W164" s="11" t="s">
        <v>457</v>
      </c>
      <c r="X164" s="11" t="s">
        <v>457</v>
      </c>
      <c r="Y164" s="11" t="s">
        <v>459</v>
      </c>
      <c r="Z164" s="11" t="s">
        <v>460</v>
      </c>
      <c r="AA164" s="11" t="s">
        <v>460</v>
      </c>
      <c r="AB164" s="11" t="s">
        <v>458</v>
      </c>
      <c r="AC164" s="11" t="s">
        <v>459</v>
      </c>
      <c r="AD164" s="11" t="s">
        <v>459</v>
      </c>
      <c r="AE164" s="11" t="s">
        <v>459</v>
      </c>
      <c r="AF164" s="11" t="s">
        <v>458</v>
      </c>
      <c r="AG164" s="11" t="s">
        <v>458</v>
      </c>
      <c r="AH164" s="11" t="s">
        <v>458</v>
      </c>
      <c r="AI164" s="11" t="s">
        <v>458</v>
      </c>
      <c r="AJ164" s="11" t="s">
        <v>457</v>
      </c>
      <c r="AK164" s="11" t="s">
        <v>459</v>
      </c>
      <c r="AL164" s="11" t="s">
        <v>459</v>
      </c>
      <c r="AM164" s="11" t="s">
        <v>459</v>
      </c>
      <c r="AN164" s="11" t="s">
        <v>458</v>
      </c>
      <c r="AO164" s="11" t="s">
        <v>459</v>
      </c>
      <c r="AP164" s="11" t="s">
        <v>459</v>
      </c>
      <c r="AQ164" s="11" t="s">
        <v>458</v>
      </c>
      <c r="AR164" s="11" t="s">
        <v>458</v>
      </c>
      <c r="AS164" s="11" t="s">
        <v>458</v>
      </c>
      <c r="AT164" s="11" t="s">
        <v>458</v>
      </c>
      <c r="AU164" s="11" t="s">
        <v>459</v>
      </c>
      <c r="AV164" s="11" t="s">
        <v>459</v>
      </c>
      <c r="AW164" s="11" t="s">
        <v>459</v>
      </c>
      <c r="AX164" s="11" t="s">
        <v>459</v>
      </c>
    </row>
    <row r="165" spans="1:50" ht="11.25" customHeight="1">
      <c r="A165" s="11" t="s">
        <v>317</v>
      </c>
      <c r="C165" s="11" t="s">
        <v>393</v>
      </c>
      <c r="D165" s="11" t="s">
        <v>394</v>
      </c>
      <c r="E165" s="11" t="s">
        <v>400</v>
      </c>
      <c r="F165" s="11" t="s">
        <v>373</v>
      </c>
      <c r="G165" s="11" t="s">
        <v>404</v>
      </c>
      <c r="H165" s="11" t="s">
        <v>405</v>
      </c>
      <c r="I165" s="11" t="s">
        <v>361</v>
      </c>
      <c r="J165" s="11" t="s">
        <v>362</v>
      </c>
      <c r="K165" s="11" t="s">
        <v>363</v>
      </c>
      <c r="L165" s="11" t="s">
        <v>407</v>
      </c>
      <c r="M165" s="11" t="s">
        <v>372</v>
      </c>
      <c r="N165" s="11" t="s">
        <v>386</v>
      </c>
      <c r="O165" s="11" t="s">
        <v>406</v>
      </c>
      <c r="P165" s="11" t="s">
        <v>371</v>
      </c>
      <c r="Q165" s="11" t="s">
        <v>378</v>
      </c>
      <c r="R165" s="11" t="s">
        <v>379</v>
      </c>
      <c r="S165" s="11" t="s">
        <v>376</v>
      </c>
      <c r="T165" s="11" t="s">
        <v>399</v>
      </c>
      <c r="U165" s="11" t="s">
        <v>401</v>
      </c>
      <c r="V165" s="11" t="s">
        <v>395</v>
      </c>
      <c r="W165" s="11" t="s">
        <v>396</v>
      </c>
      <c r="X165" s="11" t="s">
        <v>374</v>
      </c>
      <c r="Y165" s="11" t="s">
        <v>383</v>
      </c>
      <c r="Z165" s="11" t="s">
        <v>402</v>
      </c>
      <c r="AA165" s="11" t="s">
        <v>377</v>
      </c>
      <c r="AB165" s="11" t="s">
        <v>364</v>
      </c>
      <c r="AC165" s="11" t="s">
        <v>392</v>
      </c>
      <c r="AD165" s="11" t="s">
        <v>390</v>
      </c>
      <c r="AE165" s="11" t="s">
        <v>367</v>
      </c>
      <c r="AF165" s="11" t="s">
        <v>387</v>
      </c>
      <c r="AG165" s="11" t="s">
        <v>380</v>
      </c>
      <c r="AH165" s="11" t="s">
        <v>381</v>
      </c>
      <c r="AI165" s="11" t="s">
        <v>382</v>
      </c>
      <c r="AJ165" s="11" t="s">
        <v>398</v>
      </c>
      <c r="AK165" s="11" t="s">
        <v>391</v>
      </c>
      <c r="AL165" s="11" t="s">
        <v>389</v>
      </c>
      <c r="AM165" s="11" t="s">
        <v>368</v>
      </c>
      <c r="AN165" s="11" t="s">
        <v>384</v>
      </c>
      <c r="AO165" s="11" t="s">
        <v>375</v>
      </c>
      <c r="AP165" s="11" t="s">
        <v>365</v>
      </c>
      <c r="AQ165" s="11" t="s">
        <v>369</v>
      </c>
      <c r="AR165" s="11" t="s">
        <v>366</v>
      </c>
      <c r="AS165" s="11" t="s">
        <v>388</v>
      </c>
      <c r="AT165" s="11" t="s">
        <v>403</v>
      </c>
      <c r="AU165" s="11" t="s">
        <v>390</v>
      </c>
      <c r="AV165" s="11" t="s">
        <v>385</v>
      </c>
      <c r="AW165" s="11" t="s">
        <v>397</v>
      </c>
      <c r="AX165" s="11" t="s">
        <v>370</v>
      </c>
    </row>
    <row r="166" spans="3:54" ht="11.25" customHeight="1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2"/>
      <c r="AZ166" s="12"/>
      <c r="BA166" s="12"/>
      <c r="BB166" s="12"/>
    </row>
    <row r="167" spans="3:54" ht="11.25" customHeight="1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2"/>
      <c r="AZ167" s="12"/>
      <c r="BA167" s="12"/>
      <c r="BB167" s="12"/>
    </row>
    <row r="168" spans="3:54" ht="11.25" customHeight="1">
      <c r="C168" s="39"/>
      <c r="D168" s="39"/>
      <c r="E168" s="39"/>
      <c r="F168" s="39"/>
      <c r="H168" s="39"/>
      <c r="I168" s="15"/>
      <c r="J168" s="39"/>
      <c r="K168" s="39"/>
      <c r="L168" s="39"/>
      <c r="M168" s="39"/>
      <c r="N168" s="39"/>
      <c r="O168" s="39"/>
      <c r="R168" s="39"/>
      <c r="S168" s="40"/>
      <c r="V168" s="39"/>
      <c r="W168" s="26"/>
      <c r="X168" s="39"/>
      <c r="Y168" s="39"/>
      <c r="Z168" s="39"/>
      <c r="AB168" s="39"/>
      <c r="AC168" s="39"/>
      <c r="AE168" s="39"/>
      <c r="AF168" s="39"/>
      <c r="AG168" s="39"/>
      <c r="AH168" s="39"/>
      <c r="AI168" s="39"/>
      <c r="AJ168" s="39"/>
      <c r="AK168" s="40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40"/>
      <c r="AY168" s="12"/>
      <c r="AZ168" s="12"/>
      <c r="BA168" s="12"/>
      <c r="BB168" s="12"/>
    </row>
    <row r="169" spans="3:54" ht="11.25" customHeigh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2"/>
      <c r="AY169" s="12"/>
      <c r="AZ169" s="12"/>
      <c r="BA169" s="12"/>
      <c r="BB169" s="12"/>
    </row>
    <row r="170" spans="3:54" ht="11.25" customHeight="1">
      <c r="C170" s="39"/>
      <c r="D170" s="39"/>
      <c r="E170" s="39"/>
      <c r="F170" s="39"/>
      <c r="H170" s="39"/>
      <c r="I170" s="15"/>
      <c r="J170" s="39"/>
      <c r="K170" s="39"/>
      <c r="L170" s="39"/>
      <c r="M170" s="39"/>
      <c r="N170" s="39"/>
      <c r="O170" s="39"/>
      <c r="R170" s="39"/>
      <c r="S170" s="40"/>
      <c r="V170" s="39"/>
      <c r="W170" s="26"/>
      <c r="X170" s="39"/>
      <c r="Y170" s="39"/>
      <c r="Z170" s="39"/>
      <c r="AB170" s="39"/>
      <c r="AC170" s="39"/>
      <c r="AE170" s="39"/>
      <c r="AF170" s="39"/>
      <c r="AG170" s="39"/>
      <c r="AH170" s="39"/>
      <c r="AI170" s="39"/>
      <c r="AJ170" s="39"/>
      <c r="AK170" s="40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40"/>
      <c r="AY170" s="12"/>
      <c r="AZ170" s="12"/>
      <c r="BA170" s="12"/>
      <c r="BB170" s="12"/>
    </row>
    <row r="171" spans="3:54" ht="11.25" customHeight="1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2"/>
      <c r="AZ171" s="14"/>
      <c r="BA171" s="12"/>
      <c r="BB171" s="12"/>
    </row>
    <row r="172" spans="3:54" ht="11.25" customHeight="1">
      <c r="C172" s="39"/>
      <c r="D172" s="39"/>
      <c r="E172" s="39"/>
      <c r="F172" s="39"/>
      <c r="H172" s="39"/>
      <c r="I172" s="15"/>
      <c r="J172" s="39"/>
      <c r="K172" s="39"/>
      <c r="L172" s="39"/>
      <c r="M172" s="39"/>
      <c r="N172" s="39"/>
      <c r="O172" s="39"/>
      <c r="R172" s="39"/>
      <c r="S172" s="40"/>
      <c r="V172" s="39"/>
      <c r="W172" s="26"/>
      <c r="X172" s="39"/>
      <c r="Y172" s="39"/>
      <c r="Z172" s="39"/>
      <c r="AB172" s="39"/>
      <c r="AC172" s="39"/>
      <c r="AE172" s="39"/>
      <c r="AF172" s="39"/>
      <c r="AG172" s="39"/>
      <c r="AH172" s="39"/>
      <c r="AI172" s="39"/>
      <c r="AJ172" s="39"/>
      <c r="AK172" s="40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40"/>
      <c r="AY172" s="12"/>
      <c r="AZ172" s="12"/>
      <c r="BA172" s="12"/>
      <c r="BB172" s="12"/>
    </row>
    <row r="173" spans="3:54" ht="11.25" customHeight="1">
      <c r="C173" s="39"/>
      <c r="D173" s="39"/>
      <c r="E173" s="39"/>
      <c r="F173" s="39"/>
      <c r="H173" s="39"/>
      <c r="I173" s="15"/>
      <c r="J173" s="39"/>
      <c r="K173" s="39"/>
      <c r="L173" s="39"/>
      <c r="M173" s="39"/>
      <c r="N173" s="39"/>
      <c r="O173" s="39"/>
      <c r="R173" s="39"/>
      <c r="S173" s="40"/>
      <c r="V173" s="39"/>
      <c r="W173" s="26"/>
      <c r="X173" s="39"/>
      <c r="Y173" s="39"/>
      <c r="Z173" s="39"/>
      <c r="AB173" s="39"/>
      <c r="AC173" s="39"/>
      <c r="AE173" s="39"/>
      <c r="AF173" s="39"/>
      <c r="AG173" s="39"/>
      <c r="AH173" s="39"/>
      <c r="AI173" s="39"/>
      <c r="AJ173" s="39"/>
      <c r="AK173" s="40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40"/>
      <c r="AY173" s="12"/>
      <c r="AZ173" s="12"/>
      <c r="BA173" s="12"/>
      <c r="BB173" s="12"/>
    </row>
    <row r="174" spans="3:55" ht="11.25" customHeight="1">
      <c r="C174" s="12"/>
      <c r="D174" s="12"/>
      <c r="E174" s="12"/>
      <c r="F174" s="12"/>
      <c r="G174" s="12"/>
      <c r="H174" s="12"/>
      <c r="I174" s="15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37"/>
    </row>
    <row r="175" spans="3:55" ht="11.25" customHeight="1">
      <c r="C175" s="39"/>
      <c r="D175" s="39"/>
      <c r="E175" s="39"/>
      <c r="F175" s="39"/>
      <c r="H175" s="39"/>
      <c r="I175" s="15"/>
      <c r="J175" s="39"/>
      <c r="K175" s="39"/>
      <c r="L175" s="39"/>
      <c r="M175" s="39"/>
      <c r="N175" s="39"/>
      <c r="O175" s="39"/>
      <c r="R175" s="39"/>
      <c r="S175" s="40"/>
      <c r="V175" s="39"/>
      <c r="W175" s="26"/>
      <c r="X175" s="39"/>
      <c r="Y175" s="39"/>
      <c r="Z175" s="39"/>
      <c r="AB175" s="12"/>
      <c r="AC175" s="39"/>
      <c r="AE175" s="12"/>
      <c r="AF175" s="39"/>
      <c r="AG175" s="39"/>
      <c r="AH175" s="39"/>
      <c r="AI175" s="39"/>
      <c r="AJ175" s="39"/>
      <c r="AK175" s="40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40"/>
      <c r="AY175" s="12"/>
      <c r="AZ175" s="12"/>
      <c r="BA175" s="12"/>
      <c r="BB175" s="12"/>
      <c r="BC175" s="37"/>
    </row>
    <row r="176" spans="3:55" ht="11.25" customHeight="1">
      <c r="C176" s="39"/>
      <c r="D176" s="39"/>
      <c r="E176" s="39"/>
      <c r="F176" s="39"/>
      <c r="H176" s="39"/>
      <c r="I176" s="15"/>
      <c r="J176" s="39"/>
      <c r="K176" s="39"/>
      <c r="L176" s="39"/>
      <c r="M176" s="39"/>
      <c r="N176" s="39"/>
      <c r="O176" s="39"/>
      <c r="R176" s="39"/>
      <c r="S176" s="40"/>
      <c r="V176" s="39"/>
      <c r="W176" s="26"/>
      <c r="X176" s="39"/>
      <c r="Y176" s="39"/>
      <c r="Z176" s="39"/>
      <c r="AB176" s="39"/>
      <c r="AC176" s="39"/>
      <c r="AE176" s="39"/>
      <c r="AF176" s="39"/>
      <c r="AG176" s="39"/>
      <c r="AH176" s="39"/>
      <c r="AI176" s="39"/>
      <c r="AJ176" s="39"/>
      <c r="AK176" s="40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40"/>
      <c r="AY176" s="12"/>
      <c r="AZ176" s="12"/>
      <c r="BA176" s="12"/>
      <c r="BB176" s="12"/>
      <c r="BC176" s="37"/>
    </row>
    <row r="177" spans="3:55" ht="11.25" customHeight="1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39"/>
      <c r="AC177" s="15"/>
      <c r="AD177" s="12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39"/>
      <c r="AQ177" s="15"/>
      <c r="AR177" s="39"/>
      <c r="AS177" s="15"/>
      <c r="AT177" s="15"/>
      <c r="AU177" s="15"/>
      <c r="AV177" s="15"/>
      <c r="AW177" s="15"/>
      <c r="AX177" s="15"/>
      <c r="AY177" s="12"/>
      <c r="AZ177" s="12"/>
      <c r="BA177" s="12"/>
      <c r="BB177" s="12"/>
      <c r="BC177" s="37"/>
    </row>
    <row r="178" spans="3:55" ht="11.25" customHeight="1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39"/>
      <c r="AC178" s="15"/>
      <c r="AD178" s="12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39"/>
      <c r="AQ178" s="15"/>
      <c r="AR178" s="39"/>
      <c r="AS178" s="15"/>
      <c r="AT178" s="15"/>
      <c r="AU178" s="15"/>
      <c r="AV178" s="15"/>
      <c r="AW178" s="15"/>
      <c r="AX178" s="15"/>
      <c r="AY178" s="12"/>
      <c r="AZ178" s="12"/>
      <c r="BA178" s="12"/>
      <c r="BB178" s="12"/>
      <c r="BC178" s="37"/>
    </row>
    <row r="179" spans="3:54" ht="11.25" customHeight="1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39"/>
      <c r="AC179" s="15"/>
      <c r="AD179" s="12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39"/>
      <c r="AQ179" s="15"/>
      <c r="AR179" s="39"/>
      <c r="AS179" s="15"/>
      <c r="AT179" s="15"/>
      <c r="AU179" s="15"/>
      <c r="AV179" s="15"/>
      <c r="AW179" s="15"/>
      <c r="AX179" s="15"/>
      <c r="AY179" s="12"/>
      <c r="AZ179" s="12"/>
      <c r="BA179" s="12"/>
      <c r="BB179" s="12"/>
    </row>
    <row r="180" spans="3:54" ht="11.25" customHeight="1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2"/>
      <c r="V180" s="15"/>
      <c r="W180" s="15"/>
      <c r="X180" s="15"/>
      <c r="Y180" s="15"/>
      <c r="Z180" s="15"/>
      <c r="AA180" s="15"/>
      <c r="AB180" s="15"/>
      <c r="AC180" s="15"/>
      <c r="AD180" s="12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2"/>
      <c r="AZ180" s="12"/>
      <c r="BA180" s="12"/>
      <c r="BB180" s="12"/>
    </row>
    <row r="181" spans="3:54" ht="11.25" customHeight="1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2"/>
      <c r="AZ181" s="12"/>
      <c r="BA181" s="12"/>
      <c r="BB181" s="12"/>
    </row>
    <row r="182" spans="3:54" ht="11.25" customHeight="1">
      <c r="C182" s="39"/>
      <c r="D182" s="39"/>
      <c r="E182" s="39"/>
      <c r="F182" s="39"/>
      <c r="H182" s="39"/>
      <c r="I182" s="15"/>
      <c r="J182" s="39"/>
      <c r="K182" s="39"/>
      <c r="L182" s="39"/>
      <c r="M182" s="39"/>
      <c r="N182" s="39"/>
      <c r="O182" s="39"/>
      <c r="R182" s="39"/>
      <c r="S182" s="40"/>
      <c r="U182" s="12"/>
      <c r="V182" s="39"/>
      <c r="W182" s="26"/>
      <c r="X182" s="39"/>
      <c r="Y182" s="39"/>
      <c r="Z182" s="39"/>
      <c r="AB182" s="39"/>
      <c r="AC182" s="39"/>
      <c r="AE182" s="39"/>
      <c r="AF182" s="39"/>
      <c r="AG182" s="39"/>
      <c r="AH182" s="39"/>
      <c r="AI182" s="39"/>
      <c r="AJ182" s="39"/>
      <c r="AK182" s="40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15"/>
      <c r="AY182" s="12"/>
      <c r="AZ182" s="12"/>
      <c r="BA182" s="12"/>
      <c r="BB182" s="12"/>
    </row>
    <row r="183" spans="3:54" ht="11.25" customHeight="1">
      <c r="C183" s="12"/>
      <c r="D183" s="12"/>
      <c r="E183" s="12"/>
      <c r="F183" s="12"/>
      <c r="G183" s="12"/>
      <c r="H183" s="12"/>
      <c r="I183" s="1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5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5"/>
      <c r="AY183" s="12"/>
      <c r="AZ183" s="12"/>
      <c r="BA183" s="12"/>
      <c r="BB183" s="12"/>
    </row>
    <row r="184" spans="3:54" ht="11.25" customHeight="1">
      <c r="C184" s="39"/>
      <c r="D184" s="39"/>
      <c r="E184" s="39"/>
      <c r="F184" s="39"/>
      <c r="H184" s="39"/>
      <c r="I184" s="15"/>
      <c r="J184" s="39"/>
      <c r="K184" s="39"/>
      <c r="L184" s="39"/>
      <c r="M184" s="39"/>
      <c r="N184" s="39"/>
      <c r="O184" s="39"/>
      <c r="R184" s="39"/>
      <c r="S184" s="40"/>
      <c r="U184" s="14"/>
      <c r="V184" s="39"/>
      <c r="W184" s="26"/>
      <c r="X184" s="39"/>
      <c r="Y184" s="39"/>
      <c r="Z184" s="39"/>
      <c r="AB184" s="39"/>
      <c r="AC184" s="39"/>
      <c r="AE184" s="39"/>
      <c r="AF184" s="39"/>
      <c r="AG184" s="39"/>
      <c r="AH184" s="39"/>
      <c r="AI184" s="39"/>
      <c r="AJ184" s="39"/>
      <c r="AK184" s="40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15"/>
      <c r="AY184" s="12"/>
      <c r="AZ184" s="12"/>
      <c r="BA184" s="12"/>
      <c r="BB184" s="12"/>
    </row>
    <row r="185" spans="3:54" ht="11.25" customHeight="1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2"/>
      <c r="AZ185" s="14"/>
      <c r="BA185" s="12"/>
      <c r="BB185" s="12"/>
    </row>
    <row r="186" spans="3:54" ht="11.25" customHeight="1">
      <c r="C186" s="39"/>
      <c r="D186" s="39"/>
      <c r="E186" s="39"/>
      <c r="F186" s="39"/>
      <c r="G186" s="12"/>
      <c r="H186" s="39"/>
      <c r="I186" s="15"/>
      <c r="J186" s="39"/>
      <c r="K186" s="39"/>
      <c r="L186" s="39"/>
      <c r="M186" s="39"/>
      <c r="N186" s="39"/>
      <c r="O186" s="39"/>
      <c r="P186" s="12"/>
      <c r="Q186" s="12"/>
      <c r="R186" s="39"/>
      <c r="S186" s="40"/>
      <c r="U186" s="14"/>
      <c r="V186" s="39"/>
      <c r="W186" s="26"/>
      <c r="X186" s="39"/>
      <c r="Y186" s="39"/>
      <c r="Z186" s="39"/>
      <c r="AA186" s="12"/>
      <c r="AB186" s="39"/>
      <c r="AC186" s="39"/>
      <c r="AE186" s="39"/>
      <c r="AF186" s="39"/>
      <c r="AG186" s="39"/>
      <c r="AH186" s="39"/>
      <c r="AI186" s="39"/>
      <c r="AJ186" s="39"/>
      <c r="AK186" s="40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40"/>
      <c r="AY186" s="12"/>
      <c r="AZ186" s="12"/>
      <c r="BA186" s="12"/>
      <c r="BB186" s="12"/>
    </row>
    <row r="187" spans="3:54" ht="11.25" customHeight="1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14"/>
      <c r="AZ187" s="14"/>
      <c r="BA187" s="14"/>
      <c r="BB187" s="14"/>
    </row>
    <row r="188" spans="3:53" ht="11.25" customHeight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2"/>
      <c r="AN188" s="15"/>
      <c r="AO188" s="15"/>
      <c r="AP188" s="15"/>
      <c r="AQ188" s="15"/>
      <c r="AR188" s="12"/>
      <c r="AS188" s="15"/>
      <c r="AT188" s="15"/>
      <c r="AU188" s="15"/>
      <c r="AV188" s="15"/>
      <c r="AW188" s="15"/>
      <c r="AX188" s="15"/>
      <c r="AY188" s="12"/>
      <c r="AZ188" s="12"/>
      <c r="BA188" s="12"/>
    </row>
    <row r="189" spans="3:55" ht="11.25" customHeight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2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2"/>
      <c r="AY189" s="12"/>
      <c r="AZ189" s="12"/>
      <c r="BA189" s="12"/>
      <c r="BB189" s="12"/>
      <c r="BC189" s="12"/>
    </row>
    <row r="190" spans="3:55" ht="11.25" customHeight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2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2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2"/>
      <c r="AY190" s="12"/>
      <c r="AZ190" s="12"/>
      <c r="BA190" s="12"/>
      <c r="BB190" s="12"/>
      <c r="BC190" s="12"/>
    </row>
    <row r="191" spans="3:55" ht="11.25" customHeight="1">
      <c r="C191" s="15"/>
      <c r="D191" s="15"/>
      <c r="E191" s="15"/>
      <c r="F191" s="15"/>
      <c r="G191" s="15"/>
      <c r="H191" s="15"/>
      <c r="I191" s="15"/>
      <c r="J191" s="15"/>
      <c r="K191" s="39"/>
      <c r="L191" s="15"/>
      <c r="M191" s="15"/>
      <c r="N191" s="15"/>
      <c r="O191" s="15"/>
      <c r="P191" s="12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39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2"/>
      <c r="AN191" s="15"/>
      <c r="AO191" s="15"/>
      <c r="AP191" s="39"/>
      <c r="AQ191" s="15"/>
      <c r="AR191" s="39"/>
      <c r="AS191" s="15"/>
      <c r="AT191" s="15"/>
      <c r="AU191" s="15"/>
      <c r="AV191" s="15"/>
      <c r="AW191" s="15"/>
      <c r="AX191" s="12"/>
      <c r="AY191" s="12"/>
      <c r="AZ191" s="12"/>
      <c r="BA191" s="12"/>
      <c r="BB191" s="12"/>
      <c r="BC191" s="12"/>
    </row>
    <row r="192" spans="3:55" ht="11.25" customHeight="1">
      <c r="C192" s="15"/>
      <c r="D192" s="15"/>
      <c r="E192" s="15"/>
      <c r="F192" s="15"/>
      <c r="G192" s="15"/>
      <c r="H192" s="15"/>
      <c r="I192" s="15"/>
      <c r="J192" s="15"/>
      <c r="K192" s="39"/>
      <c r="L192" s="15"/>
      <c r="M192" s="15"/>
      <c r="N192" s="15"/>
      <c r="O192" s="15"/>
      <c r="P192" s="12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39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2"/>
      <c r="AN192" s="15"/>
      <c r="AO192" s="15"/>
      <c r="AP192" s="39"/>
      <c r="AQ192" s="15"/>
      <c r="AR192" s="39"/>
      <c r="AS192" s="15"/>
      <c r="AT192" s="15"/>
      <c r="AU192" s="15"/>
      <c r="AV192" s="15"/>
      <c r="AW192" s="15"/>
      <c r="AX192" s="12"/>
      <c r="AY192" s="12"/>
      <c r="AZ192" s="12"/>
      <c r="BA192" s="12"/>
      <c r="BB192" s="12"/>
      <c r="BC192" s="12"/>
    </row>
    <row r="193" spans="3:55" ht="11.25" customHeight="1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2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2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2"/>
      <c r="AY193" s="12"/>
      <c r="AZ193" s="12"/>
      <c r="BA193" s="12"/>
      <c r="BB193" s="12"/>
      <c r="BC193" s="12"/>
    </row>
    <row r="194" spans="3:55" ht="11.25" customHeight="1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2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2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2"/>
      <c r="AY194" s="12"/>
      <c r="AZ194" s="12"/>
      <c r="BA194" s="12"/>
      <c r="BB194" s="12"/>
      <c r="BC194" s="12"/>
    </row>
    <row r="195" spans="3:55" ht="11.25" customHeight="1">
      <c r="C195" s="39"/>
      <c r="D195" s="39"/>
      <c r="H195" s="39"/>
      <c r="I195" s="15"/>
      <c r="J195" s="39"/>
      <c r="K195" s="15"/>
      <c r="L195" s="39"/>
      <c r="N195" s="39"/>
      <c r="O195" s="39"/>
      <c r="R195" s="39"/>
      <c r="S195" s="40"/>
      <c r="X195" s="39"/>
      <c r="Y195" s="39"/>
      <c r="Z195" s="15"/>
      <c r="AB195" s="15"/>
      <c r="AC195" s="39"/>
      <c r="AE195" s="39"/>
      <c r="AF195" s="39"/>
      <c r="AG195" s="39"/>
      <c r="AH195" s="39"/>
      <c r="AI195" s="39"/>
      <c r="AK195" s="40"/>
      <c r="AM195" s="39"/>
      <c r="AN195" s="39"/>
      <c r="AO195" s="39"/>
      <c r="AP195" s="15"/>
      <c r="AQ195" s="39"/>
      <c r="AR195" s="15"/>
      <c r="AU195" s="39"/>
      <c r="AV195" s="39"/>
      <c r="AX195" s="40"/>
      <c r="AY195" s="12"/>
      <c r="AZ195" s="12"/>
      <c r="BA195" s="12"/>
      <c r="BB195" s="12"/>
      <c r="BC195" s="12"/>
    </row>
    <row r="196" spans="3:55" ht="11.25" customHeight="1">
      <c r="C196" s="39"/>
      <c r="D196" s="39"/>
      <c r="H196" s="39"/>
      <c r="I196" s="15"/>
      <c r="J196" s="39"/>
      <c r="K196" s="15"/>
      <c r="L196" s="39"/>
      <c r="N196" s="39"/>
      <c r="R196" s="39"/>
      <c r="S196" s="40"/>
      <c r="X196" s="39"/>
      <c r="Y196" s="39"/>
      <c r="Z196" s="15"/>
      <c r="AB196" s="15"/>
      <c r="AC196" s="39"/>
      <c r="AE196" s="39"/>
      <c r="AF196" s="39"/>
      <c r="AG196" s="39"/>
      <c r="AH196" s="39"/>
      <c r="AI196" s="39"/>
      <c r="AK196" s="40"/>
      <c r="AM196" s="39"/>
      <c r="AN196" s="39"/>
      <c r="AO196" s="39"/>
      <c r="AP196" s="15"/>
      <c r="AQ196" s="39"/>
      <c r="AR196" s="15"/>
      <c r="AU196" s="39"/>
      <c r="AV196" s="39"/>
      <c r="AX196" s="40"/>
      <c r="AY196" s="12"/>
      <c r="AZ196" s="12"/>
      <c r="BA196" s="12"/>
      <c r="BB196" s="12"/>
      <c r="BC196" s="12"/>
    </row>
    <row r="197" spans="3:55" ht="11.25" customHeight="1">
      <c r="C197" s="15"/>
      <c r="D197" s="15"/>
      <c r="E197" s="15"/>
      <c r="F197" s="15"/>
      <c r="G197" s="12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2"/>
      <c r="AZ197" s="12"/>
      <c r="BA197" s="12"/>
      <c r="BB197" s="12"/>
      <c r="BC197" s="12"/>
    </row>
    <row r="198" spans="3:55" ht="11.25" customHeight="1">
      <c r="C198" s="15"/>
      <c r="D198" s="15"/>
      <c r="E198" s="15"/>
      <c r="F198" s="15"/>
      <c r="G198" s="12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2"/>
      <c r="AZ198" s="12"/>
      <c r="BA198" s="12"/>
      <c r="BB198" s="12"/>
      <c r="BC198" s="12"/>
    </row>
    <row r="199" spans="3:55" ht="11.25" customHeight="1">
      <c r="C199" s="15"/>
      <c r="D199" s="15"/>
      <c r="E199" s="15"/>
      <c r="F199" s="15"/>
      <c r="G199" s="1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2"/>
      <c r="AZ199" s="12"/>
      <c r="BA199" s="12"/>
      <c r="BB199" s="12"/>
      <c r="BC199" s="12"/>
    </row>
    <row r="200" spans="3:55" ht="11.25" customHeight="1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2"/>
      <c r="AZ200" s="12"/>
      <c r="BA200" s="12"/>
      <c r="BB200" s="12"/>
      <c r="BC200" s="12"/>
    </row>
    <row r="201" spans="3:55" ht="11.25" customHeight="1">
      <c r="C201" s="15"/>
      <c r="D201" s="15"/>
      <c r="E201" s="15"/>
      <c r="F201" s="15"/>
      <c r="G201" s="12"/>
      <c r="H201" s="15"/>
      <c r="I201" s="15"/>
      <c r="J201" s="15"/>
      <c r="K201" s="12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2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2"/>
      <c r="AQ201" s="15"/>
      <c r="AR201" s="12"/>
      <c r="AS201" s="15"/>
      <c r="AT201" s="15"/>
      <c r="AU201" s="15"/>
      <c r="AV201" s="15"/>
      <c r="AW201" s="15"/>
      <c r="AX201" s="15"/>
      <c r="AY201" s="12"/>
      <c r="AZ201" s="12"/>
      <c r="BA201" s="12"/>
      <c r="BB201" s="12"/>
      <c r="BC201" s="12"/>
    </row>
    <row r="202" spans="3:55" ht="11.25" customHeight="1">
      <c r="C202" s="15"/>
      <c r="D202" s="15"/>
      <c r="E202" s="15"/>
      <c r="F202" s="15"/>
      <c r="G202" s="15"/>
      <c r="H202" s="15"/>
      <c r="I202" s="15"/>
      <c r="J202" s="15"/>
      <c r="K202" s="39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39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39"/>
      <c r="AQ202" s="15"/>
      <c r="AR202" s="39"/>
      <c r="AS202" s="15"/>
      <c r="AT202" s="15"/>
      <c r="AU202" s="15"/>
      <c r="AV202" s="15"/>
      <c r="AW202" s="15"/>
      <c r="AX202" s="15"/>
      <c r="AY202" s="12"/>
      <c r="AZ202" s="12"/>
      <c r="BA202" s="12"/>
      <c r="BB202" s="12"/>
      <c r="BC202" s="12"/>
    </row>
    <row r="203" spans="3:55" ht="11.2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2"/>
      <c r="AZ203" s="12"/>
      <c r="BA203" s="12"/>
      <c r="BB203" s="12"/>
      <c r="BC203" s="12"/>
    </row>
    <row r="204" spans="3:55" ht="11.25" customHeight="1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2"/>
      <c r="AZ204" s="12"/>
      <c r="BA204" s="12"/>
      <c r="BB204" s="12"/>
      <c r="BC204" s="12"/>
    </row>
    <row r="205" spans="3:55" ht="11.25" customHeight="1">
      <c r="C205" s="12"/>
      <c r="D205" s="12"/>
      <c r="E205" s="12"/>
      <c r="F205" s="12"/>
      <c r="G205" s="12"/>
      <c r="H205" s="12"/>
      <c r="I205" s="15"/>
      <c r="J205" s="12"/>
      <c r="K205" s="15"/>
      <c r="L205" s="12"/>
      <c r="M205" s="12"/>
      <c r="N205" s="12"/>
      <c r="O205" s="39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5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5"/>
      <c r="AN205" s="12"/>
      <c r="AO205" s="12"/>
      <c r="AP205" s="15"/>
      <c r="AQ205" s="12"/>
      <c r="AR205" s="15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3:55" ht="11.25" customHeight="1">
      <c r="C206" s="39"/>
      <c r="D206" s="39"/>
      <c r="E206" s="39"/>
      <c r="F206" s="39"/>
      <c r="H206" s="39"/>
      <c r="I206" s="15"/>
      <c r="J206" s="39"/>
      <c r="K206" s="15"/>
      <c r="L206" s="39"/>
      <c r="M206" s="39"/>
      <c r="N206" s="39"/>
      <c r="O206" s="15"/>
      <c r="R206" s="39"/>
      <c r="S206" s="40"/>
      <c r="V206" s="39"/>
      <c r="W206" s="26"/>
      <c r="X206" s="39"/>
      <c r="Y206" s="39"/>
      <c r="Z206" s="39"/>
      <c r="AB206" s="15"/>
      <c r="AC206" s="39"/>
      <c r="AE206" s="39"/>
      <c r="AF206" s="39"/>
      <c r="AG206" s="39"/>
      <c r="AH206" s="39"/>
      <c r="AI206" s="39"/>
      <c r="AJ206" s="39"/>
      <c r="AK206" s="40"/>
      <c r="AL206" s="39"/>
      <c r="AM206" s="15"/>
      <c r="AN206" s="39"/>
      <c r="AO206" s="39"/>
      <c r="AP206" s="15"/>
      <c r="AQ206" s="39"/>
      <c r="AR206" s="15"/>
      <c r="AS206" s="39"/>
      <c r="AT206" s="39"/>
      <c r="AU206" s="39"/>
      <c r="AV206" s="39"/>
      <c r="AW206" s="39"/>
      <c r="AX206" s="40"/>
      <c r="AY206" s="12"/>
      <c r="AZ206" s="12"/>
      <c r="BA206" s="12"/>
      <c r="BB206" s="12"/>
      <c r="BC206" s="12"/>
    </row>
    <row r="207" spans="3:55" ht="11.25" customHeight="1">
      <c r="C207" s="15"/>
      <c r="D207" s="15"/>
      <c r="E207" s="15"/>
      <c r="F207" s="15"/>
      <c r="G207" s="15"/>
      <c r="H207" s="15"/>
      <c r="I207" s="15"/>
      <c r="J207" s="15"/>
      <c r="K207" s="39"/>
      <c r="L207" s="15"/>
      <c r="M207" s="15"/>
      <c r="N207" s="15"/>
      <c r="O207" s="15"/>
      <c r="P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39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39"/>
      <c r="AQ207" s="15"/>
      <c r="AR207" s="39"/>
      <c r="AS207" s="15"/>
      <c r="AT207" s="15"/>
      <c r="AU207" s="15"/>
      <c r="AV207" s="15"/>
      <c r="AW207" s="15"/>
      <c r="AX207" s="15"/>
      <c r="AY207" s="12"/>
      <c r="AZ207" s="12"/>
      <c r="BA207" s="12"/>
      <c r="BB207" s="12"/>
      <c r="BC207" s="12"/>
    </row>
    <row r="208" spans="3:55" ht="11.25" customHeight="1">
      <c r="C208" s="15"/>
      <c r="D208" s="15"/>
      <c r="E208" s="15"/>
      <c r="F208" s="15"/>
      <c r="G208" s="15"/>
      <c r="H208" s="15"/>
      <c r="I208" s="15"/>
      <c r="J208" s="15"/>
      <c r="K208" s="39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39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39"/>
      <c r="AQ208" s="15"/>
      <c r="AR208" s="39"/>
      <c r="AS208" s="15"/>
      <c r="AT208" s="15"/>
      <c r="AU208" s="15"/>
      <c r="AV208" s="15"/>
      <c r="AW208" s="15"/>
      <c r="AX208" s="15"/>
      <c r="AY208" s="12"/>
      <c r="AZ208" s="12"/>
      <c r="BA208" s="12"/>
      <c r="BB208" s="12"/>
      <c r="BC208" s="12"/>
    </row>
    <row r="209" spans="3:55" ht="11.25" customHeight="1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2"/>
      <c r="AZ209" s="12"/>
      <c r="BA209" s="12"/>
      <c r="BB209" s="12"/>
      <c r="BC209" s="12"/>
    </row>
    <row r="210" spans="3:55" ht="11.25" customHeight="1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2"/>
      <c r="AZ210" s="12"/>
      <c r="BA210" s="12"/>
      <c r="BB210" s="12"/>
      <c r="BC210" s="12"/>
    </row>
    <row r="211" spans="3:55" ht="11.25" customHeight="1">
      <c r="C211" s="39"/>
      <c r="D211" s="39"/>
      <c r="E211" s="39"/>
      <c r="F211" s="39"/>
      <c r="H211" s="39"/>
      <c r="I211" s="15"/>
      <c r="J211" s="39"/>
      <c r="K211" s="15"/>
      <c r="L211" s="39"/>
      <c r="M211" s="39"/>
      <c r="N211" s="39"/>
      <c r="O211" s="39"/>
      <c r="R211" s="39"/>
      <c r="S211" s="40"/>
      <c r="V211" s="39"/>
      <c r="W211" s="26"/>
      <c r="X211" s="39"/>
      <c r="Y211" s="39"/>
      <c r="Z211" s="39"/>
      <c r="AB211" s="15"/>
      <c r="AC211" s="39"/>
      <c r="AE211" s="12"/>
      <c r="AF211" s="39"/>
      <c r="AG211" s="39"/>
      <c r="AH211" s="39"/>
      <c r="AI211" s="39"/>
      <c r="AJ211" s="39"/>
      <c r="AK211" s="40"/>
      <c r="AL211" s="39"/>
      <c r="AM211" s="39"/>
      <c r="AN211" s="39"/>
      <c r="AO211" s="39"/>
      <c r="AP211" s="15"/>
      <c r="AQ211" s="39"/>
      <c r="AR211" s="15"/>
      <c r="AS211" s="39"/>
      <c r="AT211" s="39"/>
      <c r="AU211" s="39"/>
      <c r="AV211" s="39"/>
      <c r="AW211" s="39"/>
      <c r="AX211" s="15"/>
      <c r="AY211" s="12"/>
      <c r="AZ211" s="12"/>
      <c r="BA211" s="12"/>
      <c r="BB211" s="12"/>
      <c r="BC211" s="12"/>
    </row>
    <row r="212" spans="3:55" ht="11.25" customHeight="1">
      <c r="C212" s="39"/>
      <c r="D212" s="39"/>
      <c r="E212" s="39"/>
      <c r="F212" s="39"/>
      <c r="H212" s="39"/>
      <c r="I212" s="15"/>
      <c r="J212" s="39"/>
      <c r="K212" s="15"/>
      <c r="L212" s="39"/>
      <c r="M212" s="39"/>
      <c r="N212" s="39"/>
      <c r="O212" s="39"/>
      <c r="R212" s="39"/>
      <c r="S212" s="40"/>
      <c r="V212" s="39"/>
      <c r="W212" s="26"/>
      <c r="X212" s="39"/>
      <c r="Y212" s="39"/>
      <c r="Z212" s="39"/>
      <c r="AB212" s="15"/>
      <c r="AC212" s="39"/>
      <c r="AE212" s="39"/>
      <c r="AF212" s="39"/>
      <c r="AG212" s="39"/>
      <c r="AH212" s="39"/>
      <c r="AI212" s="39"/>
      <c r="AJ212" s="39"/>
      <c r="AK212" s="40"/>
      <c r="AL212" s="39"/>
      <c r="AM212" s="39"/>
      <c r="AN212" s="39"/>
      <c r="AO212" s="39"/>
      <c r="AP212" s="15"/>
      <c r="AQ212" s="39"/>
      <c r="AR212" s="15"/>
      <c r="AS212" s="39"/>
      <c r="AT212" s="39"/>
      <c r="AU212" s="39"/>
      <c r="AV212" s="39"/>
      <c r="AW212" s="39"/>
      <c r="AX212" s="40"/>
      <c r="AY212" s="12"/>
      <c r="AZ212" s="12"/>
      <c r="BA212" s="12"/>
      <c r="BB212" s="12"/>
      <c r="BC212" s="12"/>
    </row>
    <row r="213" spans="3:55" ht="11.25" customHeight="1">
      <c r="C213" s="15"/>
      <c r="D213" s="15"/>
      <c r="E213" s="15"/>
      <c r="F213" s="15"/>
      <c r="G213" s="15"/>
      <c r="H213" s="15"/>
      <c r="I213" s="15"/>
      <c r="J213" s="15"/>
      <c r="K213" s="39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39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39"/>
      <c r="AQ213" s="15"/>
      <c r="AR213" s="39"/>
      <c r="AS213" s="15"/>
      <c r="AT213" s="15"/>
      <c r="AU213" s="15"/>
      <c r="AV213" s="15"/>
      <c r="AW213" s="15"/>
      <c r="AX213" s="15"/>
      <c r="AY213" s="12"/>
      <c r="AZ213" s="12"/>
      <c r="BA213" s="12"/>
      <c r="BB213" s="12"/>
      <c r="BC213" s="12"/>
    </row>
    <row r="214" spans="3:55" ht="11.25" customHeight="1">
      <c r="C214" s="15"/>
      <c r="D214" s="15"/>
      <c r="E214" s="15"/>
      <c r="F214" s="15"/>
      <c r="G214" s="12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2"/>
      <c r="AZ214" s="12"/>
      <c r="BA214" s="12"/>
      <c r="BB214" s="12"/>
      <c r="BC214" s="12"/>
    </row>
    <row r="215" spans="3:55" ht="11.25" customHeight="1">
      <c r="C215" s="15"/>
      <c r="D215" s="15"/>
      <c r="E215" s="15"/>
      <c r="F215" s="15"/>
      <c r="G215" s="15"/>
      <c r="H215" s="15"/>
      <c r="I215" s="15"/>
      <c r="J215" s="15"/>
      <c r="K215" s="39"/>
      <c r="L215" s="15"/>
      <c r="M215" s="15"/>
      <c r="N215" s="15"/>
      <c r="O215" s="15"/>
      <c r="P215" s="15"/>
      <c r="Q215" s="15"/>
      <c r="R215" s="15"/>
      <c r="T215" s="15"/>
      <c r="U215" s="15"/>
      <c r="V215" s="15"/>
      <c r="W215" s="15"/>
      <c r="X215" s="15"/>
      <c r="Y215" s="15"/>
      <c r="Z215" s="15"/>
      <c r="AA215" s="15"/>
      <c r="AB215" s="39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39"/>
      <c r="AQ215" s="15"/>
      <c r="AR215" s="39"/>
      <c r="AS215" s="15"/>
      <c r="AT215" s="15"/>
      <c r="AU215" s="15"/>
      <c r="AV215" s="15"/>
      <c r="AW215" s="15"/>
      <c r="AX215" s="15"/>
      <c r="AY215" s="12"/>
      <c r="AZ215" s="12"/>
      <c r="BA215" s="12"/>
      <c r="BB215" s="12"/>
      <c r="BC215" s="12"/>
    </row>
    <row r="216" spans="3:55" ht="11.25" customHeight="1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2"/>
      <c r="AZ216" s="12"/>
      <c r="BA216" s="12"/>
      <c r="BB216" s="12"/>
      <c r="BC216" s="12"/>
    </row>
    <row r="217" spans="3:55" ht="11.25" customHeight="1">
      <c r="C217" s="39"/>
      <c r="D217" s="39"/>
      <c r="E217" s="39"/>
      <c r="F217" s="39"/>
      <c r="H217" s="39"/>
      <c r="I217" s="15"/>
      <c r="J217" s="39"/>
      <c r="K217" s="39"/>
      <c r="L217" s="39"/>
      <c r="M217" s="39"/>
      <c r="N217" s="39"/>
      <c r="O217" s="39"/>
      <c r="R217" s="39"/>
      <c r="S217" s="40"/>
      <c r="V217" s="39"/>
      <c r="W217" s="26"/>
      <c r="X217" s="39"/>
      <c r="Y217" s="39"/>
      <c r="Z217" s="39"/>
      <c r="AB217" s="39"/>
      <c r="AC217" s="39"/>
      <c r="AE217" s="39"/>
      <c r="AF217" s="39"/>
      <c r="AG217" s="39"/>
      <c r="AH217" s="39"/>
      <c r="AI217" s="39"/>
      <c r="AJ217" s="39"/>
      <c r="AK217" s="40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40"/>
      <c r="AY217" s="12"/>
      <c r="AZ217" s="12"/>
      <c r="BA217" s="12"/>
      <c r="BB217" s="12"/>
      <c r="BC217" s="12"/>
    </row>
    <row r="218" spans="3:55" ht="11.25" customHeight="1">
      <c r="C218" s="15"/>
      <c r="D218" s="15"/>
      <c r="E218" s="15"/>
      <c r="F218" s="15"/>
      <c r="G218" s="15"/>
      <c r="H218" s="15"/>
      <c r="I218" s="15"/>
      <c r="J218" s="15"/>
      <c r="K218" s="39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39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39"/>
      <c r="AQ218" s="15"/>
      <c r="AR218" s="39"/>
      <c r="AS218" s="15"/>
      <c r="AT218" s="15"/>
      <c r="AU218" s="15"/>
      <c r="AV218" s="15"/>
      <c r="AW218" s="15"/>
      <c r="AX218" s="12"/>
      <c r="AY218" s="12"/>
      <c r="AZ218" s="12"/>
      <c r="BA218" s="12"/>
      <c r="BB218" s="12"/>
      <c r="BC218" s="14"/>
    </row>
    <row r="219" spans="3:55" ht="11.25" customHeight="1">
      <c r="C219" s="39"/>
      <c r="D219" s="39"/>
      <c r="E219" s="39"/>
      <c r="F219" s="39"/>
      <c r="H219" s="39"/>
      <c r="I219" s="15"/>
      <c r="J219" s="39"/>
      <c r="K219" s="12"/>
      <c r="L219" s="39"/>
      <c r="M219" s="39"/>
      <c r="N219" s="39"/>
      <c r="O219" s="39"/>
      <c r="R219" s="39"/>
      <c r="S219" s="40"/>
      <c r="V219" s="39"/>
      <c r="W219" s="26"/>
      <c r="X219" s="39"/>
      <c r="Y219" s="39"/>
      <c r="Z219" s="39"/>
      <c r="AB219" s="12"/>
      <c r="AC219" s="39"/>
      <c r="AE219" s="39"/>
      <c r="AF219" s="39"/>
      <c r="AG219" s="39"/>
      <c r="AH219" s="39"/>
      <c r="AI219" s="39"/>
      <c r="AJ219" s="39"/>
      <c r="AK219" s="40"/>
      <c r="AL219" s="39"/>
      <c r="AM219" s="39"/>
      <c r="AN219" s="39"/>
      <c r="AO219" s="39"/>
      <c r="AP219" s="12"/>
      <c r="AQ219" s="39"/>
      <c r="AR219" s="12"/>
      <c r="AS219" s="39"/>
      <c r="AT219" s="39"/>
      <c r="AU219" s="39"/>
      <c r="AV219" s="39"/>
      <c r="AW219" s="39"/>
      <c r="AX219" s="40"/>
      <c r="AY219" s="12"/>
      <c r="AZ219" s="12"/>
      <c r="BA219" s="12"/>
      <c r="BB219" s="12"/>
      <c r="BC219" s="12"/>
    </row>
    <row r="220" spans="3:55" ht="11.25" customHeight="1">
      <c r="C220" s="15"/>
      <c r="D220" s="15"/>
      <c r="E220" s="15"/>
      <c r="F220" s="15"/>
      <c r="G220" s="15"/>
      <c r="H220" s="15"/>
      <c r="I220" s="15"/>
      <c r="J220" s="15"/>
      <c r="K220" s="39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2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39"/>
      <c r="AQ220" s="15"/>
      <c r="AR220" s="39"/>
      <c r="AS220" s="15"/>
      <c r="AT220" s="15"/>
      <c r="AU220" s="15"/>
      <c r="AV220" s="15"/>
      <c r="AW220" s="15"/>
      <c r="AX220" s="15"/>
      <c r="AY220" s="12"/>
      <c r="AZ220" s="14"/>
      <c r="BA220" s="12"/>
      <c r="BB220" s="12"/>
      <c r="BC220" s="12"/>
    </row>
    <row r="221" spans="3:55" ht="11.25" customHeight="1">
      <c r="C221" s="39"/>
      <c r="D221" s="39"/>
      <c r="E221" s="39"/>
      <c r="F221" s="39"/>
      <c r="H221" s="39"/>
      <c r="I221" s="15"/>
      <c r="J221" s="39"/>
      <c r="K221" s="39"/>
      <c r="L221" s="39"/>
      <c r="M221" s="39"/>
      <c r="N221" s="39"/>
      <c r="O221" s="39"/>
      <c r="R221" s="39"/>
      <c r="S221" s="40"/>
      <c r="V221" s="39"/>
      <c r="W221" s="26"/>
      <c r="X221" s="39"/>
      <c r="Y221" s="39"/>
      <c r="Z221" s="39"/>
      <c r="AB221" s="39"/>
      <c r="AC221" s="39"/>
      <c r="AE221" s="39"/>
      <c r="AF221" s="39"/>
      <c r="AG221" s="39"/>
      <c r="AH221" s="39"/>
      <c r="AI221" s="39"/>
      <c r="AJ221" s="39"/>
      <c r="AK221" s="40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40"/>
      <c r="AY221" s="12"/>
      <c r="AZ221" s="12"/>
      <c r="BA221" s="12"/>
      <c r="BB221" s="12"/>
      <c r="BC221" s="12"/>
    </row>
    <row r="222" spans="3:55" ht="11.25" customHeight="1">
      <c r="C222" s="39"/>
      <c r="D222" s="39"/>
      <c r="E222" s="39"/>
      <c r="F222" s="39"/>
      <c r="H222" s="39"/>
      <c r="I222" s="15"/>
      <c r="J222" s="39"/>
      <c r="K222" s="15"/>
      <c r="L222" s="39"/>
      <c r="M222" s="39"/>
      <c r="N222" s="39"/>
      <c r="O222" s="39"/>
      <c r="R222" s="39"/>
      <c r="S222" s="40"/>
      <c r="V222" s="39"/>
      <c r="W222" s="26"/>
      <c r="X222" s="39"/>
      <c r="Y222" s="39"/>
      <c r="Z222" s="39"/>
      <c r="AB222" s="39"/>
      <c r="AC222" s="39"/>
      <c r="AE222" s="39"/>
      <c r="AF222" s="39"/>
      <c r="AG222" s="39"/>
      <c r="AH222" s="39"/>
      <c r="AI222" s="39"/>
      <c r="AJ222" s="39"/>
      <c r="AK222" s="40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40"/>
      <c r="AY222" s="12"/>
      <c r="AZ222" s="12"/>
      <c r="BA222" s="12"/>
      <c r="BB222" s="12"/>
      <c r="BC222" s="12"/>
    </row>
    <row r="223" spans="3:55" ht="11.25" customHeight="1">
      <c r="C223" s="12"/>
      <c r="D223" s="12"/>
      <c r="E223" s="12"/>
      <c r="F223" s="12"/>
      <c r="G223" s="12"/>
      <c r="H223" s="12"/>
      <c r="I223" s="15"/>
      <c r="J223" s="12"/>
      <c r="K223" s="15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39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39"/>
      <c r="AQ223" s="12"/>
      <c r="AR223" s="39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3:55" ht="11.25" customHeight="1">
      <c r="C224" s="39"/>
      <c r="D224" s="39"/>
      <c r="E224" s="39"/>
      <c r="F224" s="39"/>
      <c r="H224" s="39"/>
      <c r="I224" s="15"/>
      <c r="J224" s="39"/>
      <c r="K224" s="15"/>
      <c r="L224" s="39"/>
      <c r="M224" s="39"/>
      <c r="N224" s="39"/>
      <c r="O224" s="39"/>
      <c r="R224" s="39"/>
      <c r="S224" s="40"/>
      <c r="V224" s="39"/>
      <c r="W224" s="26"/>
      <c r="X224" s="39"/>
      <c r="Y224" s="39"/>
      <c r="Z224" s="39"/>
      <c r="AB224" s="39"/>
      <c r="AC224" s="39"/>
      <c r="AE224" s="12"/>
      <c r="AF224" s="39"/>
      <c r="AG224" s="39"/>
      <c r="AH224" s="39"/>
      <c r="AI224" s="39"/>
      <c r="AJ224" s="39"/>
      <c r="AK224" s="40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40"/>
      <c r="AY224" s="12"/>
      <c r="AZ224" s="12"/>
      <c r="BA224" s="12"/>
      <c r="BB224" s="12"/>
      <c r="BC224" s="12"/>
    </row>
    <row r="225" spans="3:55" ht="11.25" customHeight="1">
      <c r="C225" s="39"/>
      <c r="D225" s="39"/>
      <c r="E225" s="39"/>
      <c r="F225" s="39"/>
      <c r="H225" s="39"/>
      <c r="I225" s="15"/>
      <c r="J225" s="39"/>
      <c r="K225" s="15"/>
      <c r="L225" s="39"/>
      <c r="M225" s="39"/>
      <c r="N225" s="39"/>
      <c r="O225" s="39"/>
      <c r="R225" s="39"/>
      <c r="S225" s="40"/>
      <c r="V225" s="39"/>
      <c r="W225" s="26"/>
      <c r="X225" s="39"/>
      <c r="Y225" s="39"/>
      <c r="Z225" s="39"/>
      <c r="AB225" s="15"/>
      <c r="AC225" s="39"/>
      <c r="AE225" s="39"/>
      <c r="AF225" s="39"/>
      <c r="AG225" s="39"/>
      <c r="AH225" s="39"/>
      <c r="AI225" s="39"/>
      <c r="AJ225" s="39"/>
      <c r="AK225" s="40"/>
      <c r="AL225" s="39"/>
      <c r="AM225" s="39"/>
      <c r="AN225" s="39"/>
      <c r="AO225" s="39"/>
      <c r="AP225" s="15"/>
      <c r="AQ225" s="39"/>
      <c r="AR225" s="15"/>
      <c r="AS225" s="39"/>
      <c r="AT225" s="39"/>
      <c r="AU225" s="39"/>
      <c r="AV225" s="39"/>
      <c r="AW225" s="39"/>
      <c r="AX225" s="40"/>
      <c r="AY225" s="12"/>
      <c r="AZ225" s="12"/>
      <c r="BA225" s="12"/>
      <c r="BB225" s="12"/>
      <c r="BC225" s="12"/>
    </row>
    <row r="226" spans="3:55" ht="11.2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2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2"/>
      <c r="AZ226" s="12"/>
      <c r="BA226" s="12"/>
      <c r="BB226" s="12"/>
      <c r="BC226" s="12"/>
    </row>
    <row r="227" spans="3:55" ht="11.25" customHeight="1">
      <c r="C227" s="15"/>
      <c r="D227" s="15"/>
      <c r="E227" s="15"/>
      <c r="F227" s="15"/>
      <c r="G227" s="15"/>
      <c r="H227" s="15"/>
      <c r="I227" s="15"/>
      <c r="J227" s="15"/>
      <c r="K227" s="39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39"/>
      <c r="AC227" s="15"/>
      <c r="AD227" s="12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39"/>
      <c r="AQ227" s="15"/>
      <c r="AR227" s="39"/>
      <c r="AS227" s="15"/>
      <c r="AT227" s="15"/>
      <c r="AU227" s="15"/>
      <c r="AV227" s="15"/>
      <c r="AW227" s="15"/>
      <c r="AX227" s="15"/>
      <c r="AY227" s="12"/>
      <c r="AZ227" s="12"/>
      <c r="BA227" s="12"/>
      <c r="BB227" s="12"/>
      <c r="BC227" s="12"/>
    </row>
    <row r="228" spans="3:55" ht="11.25" customHeight="1">
      <c r="C228" s="15"/>
      <c r="D228" s="15"/>
      <c r="E228" s="15"/>
      <c r="F228" s="15"/>
      <c r="G228" s="15"/>
      <c r="H228" s="15"/>
      <c r="I228" s="15"/>
      <c r="J228" s="15"/>
      <c r="K228" s="12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2"/>
      <c r="AC228" s="15"/>
      <c r="AD228" s="12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2"/>
      <c r="AQ228" s="15"/>
      <c r="AR228" s="12"/>
      <c r="AS228" s="15"/>
      <c r="AT228" s="15"/>
      <c r="AU228" s="15"/>
      <c r="AV228" s="15"/>
      <c r="AW228" s="15"/>
      <c r="AX228" s="15"/>
      <c r="AY228" s="12"/>
      <c r="AZ228" s="12"/>
      <c r="BA228" s="12"/>
      <c r="BB228" s="12"/>
      <c r="BC228" s="12"/>
    </row>
    <row r="229" spans="3:55" ht="11.25" customHeight="1">
      <c r="C229" s="15"/>
      <c r="D229" s="15"/>
      <c r="E229" s="15"/>
      <c r="F229" s="15"/>
      <c r="G229" s="15"/>
      <c r="H229" s="15"/>
      <c r="I229" s="15"/>
      <c r="J229" s="15"/>
      <c r="K229" s="39"/>
      <c r="L229" s="15"/>
      <c r="M229" s="15"/>
      <c r="N229" s="15"/>
      <c r="O229" s="15"/>
      <c r="P229" s="15"/>
      <c r="Q229" s="15"/>
      <c r="R229" s="15"/>
      <c r="S229" s="15"/>
      <c r="T229" s="15"/>
      <c r="U229" s="12"/>
      <c r="V229" s="15"/>
      <c r="W229" s="15"/>
      <c r="X229" s="15"/>
      <c r="Y229" s="15"/>
      <c r="Z229" s="15"/>
      <c r="AA229" s="15"/>
      <c r="AB229" s="39"/>
      <c r="AC229" s="15"/>
      <c r="AD229" s="12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39"/>
      <c r="AQ229" s="15"/>
      <c r="AR229" s="39"/>
      <c r="AS229" s="15"/>
      <c r="AT229" s="15"/>
      <c r="AU229" s="15"/>
      <c r="AV229" s="15"/>
      <c r="AW229" s="15"/>
      <c r="AX229" s="15"/>
      <c r="AY229" s="12"/>
      <c r="AZ229" s="12"/>
      <c r="BA229" s="12"/>
      <c r="BB229" s="12"/>
      <c r="BC229" s="12"/>
    </row>
    <row r="230" spans="3:55" ht="11.25" customHeight="1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2"/>
      <c r="AZ230" s="12"/>
      <c r="BA230" s="12"/>
      <c r="BB230" s="12"/>
      <c r="BC230" s="12"/>
    </row>
    <row r="231" spans="3:55" ht="11.25" customHeight="1">
      <c r="C231" s="39"/>
      <c r="D231" s="39"/>
      <c r="E231" s="39"/>
      <c r="F231" s="39"/>
      <c r="H231" s="39"/>
      <c r="I231" s="15"/>
      <c r="J231" s="39"/>
      <c r="K231" s="39"/>
      <c r="L231" s="39"/>
      <c r="M231" s="39"/>
      <c r="N231" s="39"/>
      <c r="O231" s="39"/>
      <c r="R231" s="39"/>
      <c r="S231" s="40"/>
      <c r="U231" s="12"/>
      <c r="V231" s="39"/>
      <c r="W231" s="26"/>
      <c r="X231" s="39"/>
      <c r="Y231" s="39"/>
      <c r="Z231" s="39"/>
      <c r="AB231" s="39"/>
      <c r="AC231" s="39"/>
      <c r="AE231" s="39"/>
      <c r="AF231" s="39"/>
      <c r="AG231" s="39"/>
      <c r="AH231" s="39"/>
      <c r="AI231" s="39"/>
      <c r="AJ231" s="39"/>
      <c r="AK231" s="40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15"/>
      <c r="AY231" s="12"/>
      <c r="AZ231" s="12"/>
      <c r="BA231" s="12"/>
      <c r="BB231" s="12"/>
      <c r="BC231" s="12"/>
    </row>
    <row r="232" spans="3:55" ht="11.25" customHeight="1">
      <c r="C232" s="12"/>
      <c r="D232" s="12"/>
      <c r="E232" s="12"/>
      <c r="F232" s="12"/>
      <c r="G232" s="12"/>
      <c r="H232" s="12"/>
      <c r="I232" s="15"/>
      <c r="J232" s="12"/>
      <c r="K232" s="33"/>
      <c r="L232" s="12"/>
      <c r="M232" s="12"/>
      <c r="N232" s="12"/>
      <c r="O232" s="12"/>
      <c r="P232" s="12"/>
      <c r="Q232" s="12"/>
      <c r="R232" s="12"/>
      <c r="S232" s="12"/>
      <c r="T232" s="12"/>
      <c r="V232" s="12"/>
      <c r="W232" s="12"/>
      <c r="X232" s="12"/>
      <c r="Y232" s="12"/>
      <c r="Z232" s="12"/>
      <c r="AA232" s="12"/>
      <c r="AB232" s="33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5"/>
      <c r="AN232" s="12"/>
      <c r="AO232" s="12"/>
      <c r="AP232" s="33"/>
      <c r="AQ232" s="12"/>
      <c r="AR232" s="33"/>
      <c r="AS232" s="12"/>
      <c r="AT232" s="12"/>
      <c r="AU232" s="12"/>
      <c r="AV232" s="12"/>
      <c r="AW232" s="12"/>
      <c r="AX232" s="15"/>
      <c r="AY232" s="12"/>
      <c r="AZ232" s="12"/>
      <c r="BA232" s="12"/>
      <c r="BB232" s="12"/>
      <c r="BC232" s="14"/>
    </row>
    <row r="233" spans="3:55" ht="11.25" customHeight="1">
      <c r="C233" s="39"/>
      <c r="D233" s="39"/>
      <c r="E233" s="39"/>
      <c r="F233" s="39"/>
      <c r="H233" s="39"/>
      <c r="I233" s="15"/>
      <c r="J233" s="39"/>
      <c r="K233" s="12"/>
      <c r="L233" s="39"/>
      <c r="M233" s="39"/>
      <c r="N233" s="39"/>
      <c r="O233" s="39"/>
      <c r="R233" s="39"/>
      <c r="S233" s="40"/>
      <c r="U233" s="14"/>
      <c r="V233" s="39"/>
      <c r="W233" s="26"/>
      <c r="X233" s="39"/>
      <c r="Y233" s="39"/>
      <c r="Z233" s="39"/>
      <c r="AC233" s="39"/>
      <c r="AE233" s="39"/>
      <c r="AF233" s="39"/>
      <c r="AG233" s="39"/>
      <c r="AH233" s="39"/>
      <c r="AI233" s="39"/>
      <c r="AJ233" s="39"/>
      <c r="AK233" s="40"/>
      <c r="AL233" s="39"/>
      <c r="AM233" s="39"/>
      <c r="AN233" s="39"/>
      <c r="AO233" s="39"/>
      <c r="AP233" s="12"/>
      <c r="AQ233" s="39"/>
      <c r="AR233" s="12"/>
      <c r="AS233" s="39"/>
      <c r="AT233" s="39"/>
      <c r="AU233" s="39"/>
      <c r="AV233" s="39"/>
      <c r="AW233" s="39"/>
      <c r="AX233" s="15"/>
      <c r="AY233" s="12"/>
      <c r="AZ233" s="12"/>
      <c r="BA233" s="12"/>
      <c r="BB233" s="12"/>
      <c r="BC233" s="12"/>
    </row>
    <row r="234" spans="3:55" ht="11.25" customHeight="1">
      <c r="C234" s="15"/>
      <c r="D234" s="15"/>
      <c r="E234" s="15"/>
      <c r="F234" s="15"/>
      <c r="G234" s="15"/>
      <c r="H234" s="15"/>
      <c r="I234" s="15"/>
      <c r="J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Q234" s="15"/>
      <c r="AS234" s="15"/>
      <c r="AT234" s="15"/>
      <c r="AU234" s="15"/>
      <c r="AV234" s="15"/>
      <c r="AW234" s="15"/>
      <c r="AX234" s="15"/>
      <c r="AY234" s="12"/>
      <c r="AZ234" s="14"/>
      <c r="BA234" s="12"/>
      <c r="BB234" s="12"/>
      <c r="BC234" s="14"/>
    </row>
    <row r="235" spans="3:55" ht="11.25" customHeight="1">
      <c r="C235" s="39"/>
      <c r="D235" s="39"/>
      <c r="E235" s="39"/>
      <c r="F235" s="39"/>
      <c r="G235" s="12"/>
      <c r="H235" s="39"/>
      <c r="I235" s="15"/>
      <c r="J235" s="39"/>
      <c r="K235" s="12"/>
      <c r="L235" s="39"/>
      <c r="M235" s="39"/>
      <c r="N235" s="39"/>
      <c r="O235" s="39"/>
      <c r="P235" s="12"/>
      <c r="Q235" s="12"/>
      <c r="R235" s="39"/>
      <c r="S235" s="40"/>
      <c r="U235" s="14"/>
      <c r="V235" s="39"/>
      <c r="W235" s="26"/>
      <c r="X235" s="39"/>
      <c r="Y235" s="39"/>
      <c r="Z235" s="39"/>
      <c r="AA235" s="12"/>
      <c r="AB235" s="10"/>
      <c r="AC235" s="39"/>
      <c r="AE235" s="39"/>
      <c r="AF235" s="39"/>
      <c r="AG235" s="39"/>
      <c r="AH235" s="39"/>
      <c r="AI235" s="39"/>
      <c r="AJ235" s="39"/>
      <c r="AK235" s="40"/>
      <c r="AL235" s="39"/>
      <c r="AM235" s="39"/>
      <c r="AN235" s="39"/>
      <c r="AO235" s="39"/>
      <c r="AP235" s="10"/>
      <c r="AQ235" s="39"/>
      <c r="AS235" s="39"/>
      <c r="AT235" s="39"/>
      <c r="AU235" s="39"/>
      <c r="AV235" s="39"/>
      <c r="AW235" s="39"/>
      <c r="AX235" s="40"/>
      <c r="AY235" s="12"/>
      <c r="AZ235" s="12"/>
      <c r="BA235" s="12"/>
      <c r="BB235" s="12"/>
      <c r="BC235" s="12"/>
    </row>
    <row r="236" spans="3:54" ht="11.25" customHeight="1">
      <c r="C236" s="33"/>
      <c r="D236" s="33"/>
      <c r="E236" s="33"/>
      <c r="F236" s="33"/>
      <c r="G236" s="33"/>
      <c r="H236" s="33"/>
      <c r="I236" s="33"/>
      <c r="J236" s="33"/>
      <c r="K236" s="41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41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41"/>
      <c r="AQ236" s="33"/>
      <c r="AR236" s="41"/>
      <c r="AS236" s="33"/>
      <c r="AT236" s="33"/>
      <c r="AU236" s="33"/>
      <c r="AV236" s="33"/>
      <c r="AW236" s="33"/>
      <c r="AX236" s="33"/>
      <c r="AY236" s="14"/>
      <c r="AZ236" s="14"/>
      <c r="BA236" s="14"/>
      <c r="BB236" s="14"/>
    </row>
    <row r="237" spans="3:55" ht="11.25" customHeight="1">
      <c r="C237" s="12"/>
      <c r="D237" s="12"/>
      <c r="E237" s="12"/>
      <c r="F237" s="12"/>
      <c r="G237" s="12"/>
      <c r="H237" s="12"/>
      <c r="I237" s="12"/>
      <c r="J237" s="12"/>
      <c r="K237" s="41"/>
      <c r="L237" s="12"/>
      <c r="M237" s="12"/>
      <c r="N237" s="12"/>
      <c r="O237" s="12"/>
      <c r="P237" s="12"/>
      <c r="Q237" s="12"/>
      <c r="R237" s="12"/>
      <c r="S237" s="12"/>
      <c r="T237" s="12"/>
      <c r="V237" s="12"/>
      <c r="W237" s="12"/>
      <c r="X237" s="12"/>
      <c r="Y237" s="12"/>
      <c r="Z237" s="12"/>
      <c r="AA237" s="12"/>
      <c r="AB237" s="41"/>
      <c r="AC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41"/>
      <c r="AQ237" s="12"/>
      <c r="AR237" s="41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1:55" ht="11.25" customHeight="1">
      <c r="K238" s="41"/>
      <c r="AB238" s="41"/>
      <c r="AP238" s="41"/>
      <c r="AR238" s="41"/>
      <c r="BA238" s="12"/>
      <c r="BB238" s="12"/>
      <c r="BC238" s="15"/>
    </row>
    <row r="239" spans="3:55" ht="11.25" customHeight="1">
      <c r="C239" s="10"/>
      <c r="D239" s="12"/>
      <c r="E239" s="12"/>
      <c r="F239" s="10"/>
      <c r="G239" s="12"/>
      <c r="H239" s="12"/>
      <c r="I239" s="10"/>
      <c r="J239" s="12"/>
      <c r="K239" s="41"/>
      <c r="L239" s="12"/>
      <c r="M239" s="10"/>
      <c r="N239" s="12"/>
      <c r="O239" s="12"/>
      <c r="P239" s="12"/>
      <c r="S239" s="12"/>
      <c r="T239" s="12"/>
      <c r="U239" s="12"/>
      <c r="V239" s="12"/>
      <c r="W239" s="12"/>
      <c r="Y239" s="12"/>
      <c r="Z239" s="12"/>
      <c r="AA239" s="12"/>
      <c r="AB239" s="41"/>
      <c r="AC239" s="10"/>
      <c r="AD239" s="12"/>
      <c r="AE239" s="12"/>
      <c r="AF239" s="12"/>
      <c r="AG239" s="12"/>
      <c r="AH239" s="12"/>
      <c r="AI239" s="12"/>
      <c r="AJ239" s="12"/>
      <c r="AK239" s="12"/>
      <c r="AL239" s="12"/>
      <c r="AN239" s="10"/>
      <c r="AP239" s="41"/>
      <c r="AQ239" s="10"/>
      <c r="AR239" s="41"/>
      <c r="AS239" s="10"/>
      <c r="AT239" s="12"/>
      <c r="AU239" s="12"/>
      <c r="AV239" s="10"/>
      <c r="AW239" s="12"/>
      <c r="AY239" s="12"/>
      <c r="AZ239" s="12"/>
      <c r="BA239" s="12"/>
      <c r="BB239" s="12"/>
      <c r="BC239" s="15"/>
    </row>
    <row r="240" spans="3:55" ht="11.25" customHeight="1">
      <c r="C240" s="41"/>
      <c r="D240" s="1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15"/>
      <c r="U240" s="15"/>
      <c r="V240" s="41"/>
      <c r="W240" s="15"/>
      <c r="X240" s="41"/>
      <c r="Y240" s="41"/>
      <c r="Z240" s="41"/>
      <c r="AA240" s="41"/>
      <c r="AB240" s="41"/>
      <c r="AC240" s="41"/>
      <c r="AD240" s="15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15"/>
      <c r="AT240" s="41"/>
      <c r="AU240" s="41"/>
      <c r="AV240" s="41"/>
      <c r="AW240" s="41"/>
      <c r="AX240" s="12"/>
      <c r="AY240" s="12"/>
      <c r="AZ240" s="12"/>
      <c r="BA240" s="12"/>
      <c r="BB240" s="12"/>
      <c r="BC240" s="15"/>
    </row>
    <row r="241" spans="3:55" ht="11.25" customHeight="1">
      <c r="C241" s="41"/>
      <c r="D241" s="1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15"/>
      <c r="U241" s="15"/>
      <c r="V241" s="41"/>
      <c r="W241" s="15"/>
      <c r="X241" s="41"/>
      <c r="Y241" s="41"/>
      <c r="Z241" s="41"/>
      <c r="AA241" s="41"/>
      <c r="AB241" s="41"/>
      <c r="AC241" s="41"/>
      <c r="AD241" s="15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15"/>
      <c r="AT241" s="41"/>
      <c r="AU241" s="41"/>
      <c r="AV241" s="41"/>
      <c r="AW241" s="41"/>
      <c r="AX241" s="12"/>
      <c r="AY241" s="12"/>
      <c r="AZ241" s="12"/>
      <c r="BA241" s="12"/>
      <c r="BB241" s="12"/>
      <c r="BC241" s="15"/>
    </row>
    <row r="242" spans="3:55" ht="11.25" customHeight="1">
      <c r="C242" s="15"/>
      <c r="D242" s="15"/>
      <c r="E242" s="15"/>
      <c r="F242" s="41"/>
      <c r="G242" s="15"/>
      <c r="H242" s="15"/>
      <c r="I242" s="39"/>
      <c r="J242" s="41"/>
      <c r="K242" s="41"/>
      <c r="L242" s="41"/>
      <c r="M242" s="41"/>
      <c r="N242" s="41"/>
      <c r="O242" s="15"/>
      <c r="P242" s="41"/>
      <c r="Q242" s="41"/>
      <c r="R242" s="41"/>
      <c r="S242" s="41"/>
      <c r="T242" s="41"/>
      <c r="U242" s="15"/>
      <c r="V242" s="41"/>
      <c r="W242" s="15"/>
      <c r="X242" s="41"/>
      <c r="Y242" s="41"/>
      <c r="Z242" s="41"/>
      <c r="AA242" s="41"/>
      <c r="AB242" s="41"/>
      <c r="AC242" s="15"/>
      <c r="AD242" s="15"/>
      <c r="AE242" s="41"/>
      <c r="AF242" s="41"/>
      <c r="AG242" s="41"/>
      <c r="AH242" s="41"/>
      <c r="AI242" s="41"/>
      <c r="AJ242" s="41"/>
      <c r="AK242" s="15"/>
      <c r="AL242" s="41"/>
      <c r="AM242" s="41"/>
      <c r="AN242" s="41"/>
      <c r="AO242" s="41"/>
      <c r="AP242" s="41"/>
      <c r="AQ242" s="41"/>
      <c r="AR242" s="41"/>
      <c r="AS242" s="15"/>
      <c r="AT242" s="15"/>
      <c r="AU242" s="41"/>
      <c r="AV242" s="41"/>
      <c r="AW242" s="41"/>
      <c r="AX242" s="12"/>
      <c r="AY242" s="12"/>
      <c r="AZ242" s="12"/>
      <c r="BA242" s="12"/>
      <c r="BB242" s="12"/>
      <c r="BC242" s="15"/>
    </row>
    <row r="243" spans="3:55" ht="11.25" customHeight="1">
      <c r="C243" s="41"/>
      <c r="D243" s="15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15"/>
      <c r="U243" s="15"/>
      <c r="V243" s="41"/>
      <c r="W243" s="15"/>
      <c r="X243" s="41"/>
      <c r="Y243" s="41"/>
      <c r="Z243" s="41"/>
      <c r="AA243" s="41"/>
      <c r="AB243" s="41"/>
      <c r="AC243" s="41"/>
      <c r="AD243" s="15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15"/>
      <c r="AT243" s="41"/>
      <c r="AU243" s="41"/>
      <c r="AV243" s="41"/>
      <c r="AW243" s="41"/>
      <c r="AX243" s="12"/>
      <c r="AY243" s="12"/>
      <c r="AZ243" s="12"/>
      <c r="BA243" s="12"/>
      <c r="BB243" s="12"/>
      <c r="BC243" s="15"/>
    </row>
    <row r="244" spans="3:55" ht="11.25" customHeight="1">
      <c r="C244" s="41"/>
      <c r="D244" s="1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15"/>
      <c r="U244" s="15"/>
      <c r="V244" s="41"/>
      <c r="W244" s="15"/>
      <c r="X244" s="41"/>
      <c r="Y244" s="41"/>
      <c r="Z244" s="41"/>
      <c r="AA244" s="41"/>
      <c r="AB244" s="41"/>
      <c r="AC244" s="41"/>
      <c r="AD244" s="15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15"/>
      <c r="AT244" s="41"/>
      <c r="AU244" s="41"/>
      <c r="AV244" s="41"/>
      <c r="AW244" s="41"/>
      <c r="AX244" s="12"/>
      <c r="AY244" s="12"/>
      <c r="AZ244" s="12"/>
      <c r="BA244" s="12"/>
      <c r="BB244" s="12"/>
      <c r="BC244" s="15"/>
    </row>
    <row r="245" spans="3:55" ht="11.25" customHeight="1">
      <c r="C245" s="41"/>
      <c r="D245" s="1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15"/>
      <c r="U245" s="15"/>
      <c r="V245" s="41"/>
      <c r="W245" s="15"/>
      <c r="X245" s="41"/>
      <c r="Y245" s="41"/>
      <c r="Z245" s="41"/>
      <c r="AA245" s="41"/>
      <c r="AB245" s="41"/>
      <c r="AC245" s="41"/>
      <c r="AD245" s="15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T245" s="41"/>
      <c r="AU245" s="41"/>
      <c r="AV245" s="41"/>
      <c r="AW245" s="41"/>
      <c r="AX245" s="12"/>
      <c r="AY245" s="12"/>
      <c r="AZ245" s="12"/>
      <c r="BA245" s="12"/>
      <c r="BB245" s="12"/>
      <c r="BC245" s="15"/>
    </row>
    <row r="246" spans="3:55" ht="11.25" customHeight="1">
      <c r="C246" s="41"/>
      <c r="D246" s="41"/>
      <c r="E246" s="15"/>
      <c r="F246" s="41"/>
      <c r="G246" s="15"/>
      <c r="H246" s="15"/>
      <c r="I246" s="41"/>
      <c r="J246" s="41"/>
      <c r="K246" s="39"/>
      <c r="L246" s="15"/>
      <c r="M246" s="41"/>
      <c r="N246" s="41"/>
      <c r="O246" s="15"/>
      <c r="P246" s="41"/>
      <c r="Q246" s="41"/>
      <c r="R246" s="41"/>
      <c r="S246" s="41"/>
      <c r="T246" s="15"/>
      <c r="U246" s="15"/>
      <c r="V246" s="41"/>
      <c r="W246" s="15"/>
      <c r="X246" s="41"/>
      <c r="Y246" s="41"/>
      <c r="Z246" s="41"/>
      <c r="AA246" s="41"/>
      <c r="AB246" s="39"/>
      <c r="AC246" s="41"/>
      <c r="AD246" s="15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39"/>
      <c r="AQ246" s="41"/>
      <c r="AR246" s="39"/>
      <c r="AT246" s="15"/>
      <c r="AU246" s="41"/>
      <c r="AV246" s="41"/>
      <c r="AW246" s="41"/>
      <c r="AX246" s="12"/>
      <c r="AY246" s="12"/>
      <c r="AZ246" s="12"/>
      <c r="BA246" s="12"/>
      <c r="BB246" s="12"/>
      <c r="BC246" s="15"/>
    </row>
    <row r="247" spans="3:55" ht="11.25" customHeight="1">
      <c r="C247" s="41"/>
      <c r="D247" s="41"/>
      <c r="E247" s="15"/>
      <c r="F247" s="41"/>
      <c r="G247" s="41"/>
      <c r="H247" s="15"/>
      <c r="I247" s="41"/>
      <c r="J247" s="41"/>
      <c r="K247" s="41"/>
      <c r="L247" s="41"/>
      <c r="M247" s="41"/>
      <c r="N247" s="41"/>
      <c r="O247" s="15"/>
      <c r="P247" s="41"/>
      <c r="Q247" s="41"/>
      <c r="R247" s="41"/>
      <c r="S247" s="41"/>
      <c r="T247" s="15"/>
      <c r="U247" s="15"/>
      <c r="V247" s="41"/>
      <c r="W247" s="15"/>
      <c r="X247" s="41"/>
      <c r="Y247" s="41"/>
      <c r="Z247" s="41"/>
      <c r="AA247" s="41"/>
      <c r="AB247" s="41"/>
      <c r="AC247" s="41"/>
      <c r="AD247" s="15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T247" s="15"/>
      <c r="AU247" s="41"/>
      <c r="AV247" s="41"/>
      <c r="AW247" s="41"/>
      <c r="AX247" s="12"/>
      <c r="AY247" s="12"/>
      <c r="AZ247" s="12"/>
      <c r="BA247" s="12"/>
      <c r="BB247" s="12"/>
      <c r="BC247" s="15"/>
    </row>
    <row r="248" spans="3:55" ht="11.25" customHeight="1">
      <c r="C248" s="41"/>
      <c r="D248" s="15"/>
      <c r="E248" s="15"/>
      <c r="F248" s="41"/>
      <c r="G248" s="41"/>
      <c r="H248" s="15"/>
      <c r="I248" s="41"/>
      <c r="J248" s="41"/>
      <c r="K248" s="41"/>
      <c r="L248" s="41"/>
      <c r="M248" s="41"/>
      <c r="N248" s="41"/>
      <c r="O248" s="15"/>
      <c r="P248" s="41"/>
      <c r="Q248" s="41"/>
      <c r="R248" s="41"/>
      <c r="S248" s="41"/>
      <c r="T248" s="15"/>
      <c r="U248" s="15"/>
      <c r="V248" s="41"/>
      <c r="W248" s="15"/>
      <c r="X248" s="41"/>
      <c r="Y248" s="41"/>
      <c r="Z248" s="41"/>
      <c r="AA248" s="41"/>
      <c r="AB248" s="41"/>
      <c r="AC248" s="41"/>
      <c r="AD248" s="15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T248" s="41"/>
      <c r="AU248" s="41"/>
      <c r="AV248" s="41"/>
      <c r="AW248" s="41"/>
      <c r="AX248" s="12"/>
      <c r="AY248" s="12"/>
      <c r="AZ248" s="12"/>
      <c r="BA248" s="12"/>
      <c r="BB248" s="12"/>
      <c r="BC248" s="15"/>
    </row>
    <row r="249" spans="3:55" ht="11.25" customHeight="1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15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12"/>
      <c r="AZ249" s="12"/>
      <c r="BA249" s="12"/>
      <c r="BB249" s="12"/>
      <c r="BC249" s="15"/>
    </row>
    <row r="250" spans="3:55" ht="11.25" customHeight="1">
      <c r="C250" s="39"/>
      <c r="E250" s="39"/>
      <c r="F250" s="39"/>
      <c r="G250" s="39"/>
      <c r="H250" s="39"/>
      <c r="I250" s="41"/>
      <c r="J250" s="39"/>
      <c r="K250" s="41"/>
      <c r="L250" s="39"/>
      <c r="M250" s="39"/>
      <c r="N250" s="39"/>
      <c r="O250" s="39"/>
      <c r="P250" s="39"/>
      <c r="Q250" s="39"/>
      <c r="R250" s="39"/>
      <c r="S250" s="40"/>
      <c r="V250" s="39"/>
      <c r="W250" s="26"/>
      <c r="X250" s="39"/>
      <c r="Y250" s="39"/>
      <c r="Z250" s="39"/>
      <c r="AA250" s="39"/>
      <c r="AB250" s="41"/>
      <c r="AC250" s="39"/>
      <c r="AE250" s="39"/>
      <c r="AF250" s="39"/>
      <c r="AG250" s="39"/>
      <c r="AH250" s="39"/>
      <c r="AI250" s="39"/>
      <c r="AJ250" s="39"/>
      <c r="AK250" s="40"/>
      <c r="AL250" s="39"/>
      <c r="AM250" s="39"/>
      <c r="AN250" s="39"/>
      <c r="AO250" s="39"/>
      <c r="AP250" s="41"/>
      <c r="AQ250" s="39"/>
      <c r="AR250" s="41"/>
      <c r="AT250" s="39"/>
      <c r="AU250" s="39"/>
      <c r="AV250" s="39"/>
      <c r="AW250" s="39"/>
      <c r="AX250" s="40"/>
      <c r="AY250" s="12"/>
      <c r="AZ250" s="12"/>
      <c r="BA250" s="12"/>
      <c r="BB250" s="12"/>
      <c r="BC250" s="15"/>
    </row>
    <row r="251" spans="3:55" ht="11.25" customHeight="1">
      <c r="C251" s="41"/>
      <c r="D251" s="15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15"/>
      <c r="U251" s="15"/>
      <c r="V251" s="41"/>
      <c r="W251" s="15"/>
      <c r="X251" s="41"/>
      <c r="Y251" s="41"/>
      <c r="Z251" s="41"/>
      <c r="AA251" s="41"/>
      <c r="AB251" s="41"/>
      <c r="AC251" s="41"/>
      <c r="AD251" s="15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15"/>
      <c r="AT251" s="41"/>
      <c r="AU251" s="41"/>
      <c r="AV251" s="41"/>
      <c r="AW251" s="41"/>
      <c r="AX251" s="40"/>
      <c r="AY251" s="12"/>
      <c r="AZ251" s="12"/>
      <c r="BA251" s="12"/>
      <c r="BB251" s="12"/>
      <c r="BC251" s="15"/>
    </row>
    <row r="252" spans="3:55" ht="11.25" customHeight="1">
      <c r="C252" s="41"/>
      <c r="D252" s="15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15"/>
      <c r="U252" s="15"/>
      <c r="V252" s="41"/>
      <c r="W252" s="15"/>
      <c r="X252" s="41"/>
      <c r="Y252" s="41"/>
      <c r="Z252" s="41"/>
      <c r="AA252" s="41"/>
      <c r="AB252" s="41"/>
      <c r="AC252" s="41"/>
      <c r="AD252" s="15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15"/>
      <c r="AT252" s="41"/>
      <c r="AU252" s="41"/>
      <c r="AV252" s="41"/>
      <c r="AW252" s="41"/>
      <c r="AX252" s="41"/>
      <c r="AY252" s="12"/>
      <c r="AZ252" s="12"/>
      <c r="BA252" s="12"/>
      <c r="BB252" s="12"/>
      <c r="BC252" s="15"/>
    </row>
    <row r="253" spans="3:55" ht="11.25" customHeight="1">
      <c r="C253" s="41"/>
      <c r="D253" s="15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15"/>
      <c r="U253" s="15"/>
      <c r="V253" s="41"/>
      <c r="W253" s="15"/>
      <c r="X253" s="41"/>
      <c r="Y253" s="41"/>
      <c r="Z253" s="41"/>
      <c r="AA253" s="41"/>
      <c r="AB253" s="41"/>
      <c r="AC253" s="41"/>
      <c r="AD253" s="15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15"/>
      <c r="AT253" s="41"/>
      <c r="AU253" s="41"/>
      <c r="AV253" s="41"/>
      <c r="AW253" s="41"/>
      <c r="AX253" s="12"/>
      <c r="AY253" s="12"/>
      <c r="AZ253" s="12"/>
      <c r="BA253" s="12"/>
      <c r="BB253" s="12"/>
      <c r="BC253" s="15"/>
    </row>
    <row r="254" spans="3:55" ht="11.25" customHeight="1">
      <c r="C254" s="41"/>
      <c r="D254" s="15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15"/>
      <c r="U254" s="15"/>
      <c r="V254" s="41"/>
      <c r="W254" s="15"/>
      <c r="X254" s="41"/>
      <c r="Y254" s="41"/>
      <c r="Z254" s="41"/>
      <c r="AA254" s="41"/>
      <c r="AB254" s="41"/>
      <c r="AC254" s="41"/>
      <c r="AD254" s="15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15"/>
      <c r="AT254" s="41"/>
      <c r="AU254" s="41"/>
      <c r="AV254" s="41"/>
      <c r="AW254" s="41"/>
      <c r="AX254" s="12"/>
      <c r="AY254" s="12"/>
      <c r="AZ254" s="12"/>
      <c r="BA254" s="12"/>
      <c r="BB254" s="12"/>
      <c r="BC254" s="15"/>
    </row>
    <row r="255" spans="3:55" ht="11.25" customHeight="1">
      <c r="C255" s="41"/>
      <c r="D255" s="41"/>
      <c r="E255" s="15"/>
      <c r="F255" s="41"/>
      <c r="G255" s="15"/>
      <c r="H255" s="15"/>
      <c r="I255" s="41"/>
      <c r="J255" s="41"/>
      <c r="K255" s="41"/>
      <c r="L255" s="41"/>
      <c r="M255" s="41"/>
      <c r="N255" s="41"/>
      <c r="O255" s="15"/>
      <c r="P255" s="41"/>
      <c r="Q255" s="41"/>
      <c r="R255" s="41"/>
      <c r="S255" s="41"/>
      <c r="T255" s="15"/>
      <c r="U255" s="15"/>
      <c r="V255" s="41"/>
      <c r="W255" s="15"/>
      <c r="X255" s="41"/>
      <c r="Y255" s="41"/>
      <c r="Z255" s="41"/>
      <c r="AA255" s="41"/>
      <c r="AB255" s="41"/>
      <c r="AC255" s="41"/>
      <c r="AD255" s="15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15"/>
      <c r="AU255" s="41"/>
      <c r="AV255" s="41"/>
      <c r="AW255" s="41"/>
      <c r="AX255" s="40"/>
      <c r="AY255" s="12"/>
      <c r="AZ255" s="12"/>
      <c r="BA255" s="12"/>
      <c r="BB255" s="12"/>
      <c r="BC255" s="15"/>
    </row>
    <row r="256" spans="3:55" ht="11.25" customHeight="1">
      <c r="C256" s="41"/>
      <c r="D256" s="15"/>
      <c r="E256" s="15"/>
      <c r="F256" s="41"/>
      <c r="G256" s="41"/>
      <c r="H256" s="15"/>
      <c r="I256" s="39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15"/>
      <c r="U256" s="15"/>
      <c r="V256" s="41"/>
      <c r="W256" s="15"/>
      <c r="X256" s="41"/>
      <c r="Y256" s="41"/>
      <c r="Z256" s="41"/>
      <c r="AA256" s="41"/>
      <c r="AB256" s="41"/>
      <c r="AC256" s="41"/>
      <c r="AD256" s="15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15"/>
      <c r="AT256" s="15"/>
      <c r="AU256" s="41"/>
      <c r="AV256" s="41"/>
      <c r="AW256" s="41"/>
      <c r="AX256" s="12"/>
      <c r="AY256" s="12"/>
      <c r="AZ256" s="12"/>
      <c r="BA256" s="12"/>
      <c r="BB256" s="12"/>
      <c r="BC256" s="15"/>
    </row>
    <row r="257" spans="3:55" ht="11.25" customHeight="1">
      <c r="C257" s="41"/>
      <c r="D257" s="41"/>
      <c r="E257" s="41"/>
      <c r="F257" s="41"/>
      <c r="G257" s="41"/>
      <c r="H257" s="41"/>
      <c r="I257" s="41"/>
      <c r="J257" s="41"/>
      <c r="K257" s="39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5"/>
      <c r="X257" s="41"/>
      <c r="Y257" s="41"/>
      <c r="Z257" s="41"/>
      <c r="AA257" s="41"/>
      <c r="AB257" s="39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39"/>
      <c r="AQ257" s="41"/>
      <c r="AR257" s="39"/>
      <c r="AS257" s="41"/>
      <c r="AT257" s="41"/>
      <c r="AU257" s="41"/>
      <c r="AV257" s="41"/>
      <c r="AW257" s="41"/>
      <c r="AX257" s="41"/>
      <c r="AY257" s="12"/>
      <c r="AZ257" s="12"/>
      <c r="BA257" s="12"/>
      <c r="BB257" s="12"/>
      <c r="BC257" s="15"/>
    </row>
    <row r="258" spans="3:55" ht="11.25" customHeight="1">
      <c r="C258" s="41"/>
      <c r="D258" s="41"/>
      <c r="E258" s="41"/>
      <c r="F258" s="41"/>
      <c r="G258" s="41"/>
      <c r="H258" s="41"/>
      <c r="I258" s="41"/>
      <c r="J258" s="41"/>
      <c r="K258" s="39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15"/>
      <c r="X258" s="41"/>
      <c r="Y258" s="41"/>
      <c r="Z258" s="41"/>
      <c r="AA258" s="41"/>
      <c r="AB258" s="39"/>
      <c r="AC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39"/>
      <c r="AQ258" s="41"/>
      <c r="AR258" s="39"/>
      <c r="AS258" s="41"/>
      <c r="AT258" s="41"/>
      <c r="AU258" s="41"/>
      <c r="AV258" s="41"/>
      <c r="AW258" s="41"/>
      <c r="AX258" s="41"/>
      <c r="AY258" s="12"/>
      <c r="AZ258" s="12"/>
      <c r="BA258" s="12"/>
      <c r="BB258" s="12"/>
      <c r="BC258" s="15"/>
    </row>
    <row r="259" spans="3:55" ht="11.2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15"/>
      <c r="X259" s="41"/>
      <c r="Y259" s="41"/>
      <c r="Z259" s="41"/>
      <c r="AA259" s="41"/>
      <c r="AB259" s="41"/>
      <c r="AC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12"/>
      <c r="AZ259" s="12"/>
      <c r="BA259" s="12"/>
      <c r="BB259" s="12"/>
      <c r="BC259" s="15"/>
    </row>
    <row r="260" spans="3:55" ht="11.25" customHeight="1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15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12"/>
      <c r="AZ260" s="12"/>
      <c r="BA260" s="12"/>
      <c r="BB260" s="12"/>
      <c r="BC260" s="15"/>
    </row>
    <row r="261" spans="3:55" ht="11.25" customHeight="1">
      <c r="C261" s="39"/>
      <c r="E261" s="39"/>
      <c r="F261" s="39"/>
      <c r="G261" s="39"/>
      <c r="H261" s="39"/>
      <c r="I261" s="41"/>
      <c r="J261" s="39"/>
      <c r="K261" s="41"/>
      <c r="L261" s="39"/>
      <c r="M261" s="39"/>
      <c r="N261" s="39"/>
      <c r="O261" s="39"/>
      <c r="P261" s="39"/>
      <c r="Q261" s="39"/>
      <c r="R261" s="39"/>
      <c r="S261" s="40"/>
      <c r="V261" s="39"/>
      <c r="W261" s="26"/>
      <c r="X261" s="39"/>
      <c r="Y261" s="39"/>
      <c r="Z261" s="39"/>
      <c r="AA261" s="39"/>
      <c r="AB261" s="41"/>
      <c r="AC261" s="39"/>
      <c r="AE261" s="39"/>
      <c r="AF261" s="39"/>
      <c r="AG261" s="39"/>
      <c r="AH261" s="39"/>
      <c r="AI261" s="39"/>
      <c r="AJ261" s="39"/>
      <c r="AK261" s="40"/>
      <c r="AL261" s="39"/>
      <c r="AM261" s="39"/>
      <c r="AN261" s="39"/>
      <c r="AO261" s="39"/>
      <c r="AP261" s="41"/>
      <c r="AQ261" s="39"/>
      <c r="AR261" s="41"/>
      <c r="AT261" s="39"/>
      <c r="AU261" s="39"/>
      <c r="AV261" s="39"/>
      <c r="AW261" s="39"/>
      <c r="AX261" s="40"/>
      <c r="AY261" s="12"/>
      <c r="AZ261" s="12"/>
      <c r="BA261" s="12"/>
      <c r="BB261" s="12"/>
      <c r="BC261" s="15"/>
    </row>
    <row r="262" spans="3:55" ht="11.25" customHeight="1">
      <c r="C262" s="39"/>
      <c r="E262" s="39"/>
      <c r="F262" s="39"/>
      <c r="G262" s="39"/>
      <c r="H262" s="39"/>
      <c r="I262" s="41"/>
      <c r="J262" s="39"/>
      <c r="K262" s="41"/>
      <c r="L262" s="39"/>
      <c r="M262" s="39"/>
      <c r="N262" s="39"/>
      <c r="O262" s="39"/>
      <c r="P262" s="39"/>
      <c r="Q262" s="39"/>
      <c r="R262" s="39"/>
      <c r="S262" s="40"/>
      <c r="V262" s="39"/>
      <c r="W262" s="26"/>
      <c r="X262" s="39"/>
      <c r="Y262" s="39"/>
      <c r="Z262" s="39"/>
      <c r="AA262" s="39"/>
      <c r="AB262" s="41"/>
      <c r="AC262" s="39"/>
      <c r="AE262" s="39"/>
      <c r="AF262" s="39"/>
      <c r="AG262" s="39"/>
      <c r="AH262" s="39"/>
      <c r="AI262" s="39"/>
      <c r="AJ262" s="39"/>
      <c r="AK262" s="40"/>
      <c r="AL262" s="39"/>
      <c r="AM262" s="39"/>
      <c r="AN262" s="39"/>
      <c r="AO262" s="39"/>
      <c r="AP262" s="41"/>
      <c r="AQ262" s="39"/>
      <c r="AR262" s="41"/>
      <c r="AT262" s="39"/>
      <c r="AU262" s="39"/>
      <c r="AV262" s="39"/>
      <c r="AW262" s="39"/>
      <c r="AX262" s="40"/>
      <c r="AY262" s="12"/>
      <c r="AZ262" s="12"/>
      <c r="BA262" s="12"/>
      <c r="BB262" s="12"/>
      <c r="BC262" s="15"/>
    </row>
    <row r="263" spans="3:55" ht="11.25" customHeight="1">
      <c r="C263" s="41"/>
      <c r="D263" s="15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15"/>
      <c r="U263" s="15"/>
      <c r="V263" s="41"/>
      <c r="W263" s="15"/>
      <c r="X263" s="41"/>
      <c r="Y263" s="41"/>
      <c r="Z263" s="41"/>
      <c r="AA263" s="41"/>
      <c r="AB263" s="41"/>
      <c r="AC263" s="41"/>
      <c r="AD263" s="15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15"/>
      <c r="AT263" s="41"/>
      <c r="AU263" s="41"/>
      <c r="AV263" s="41"/>
      <c r="AW263" s="41"/>
      <c r="AX263" s="12"/>
      <c r="AY263" s="12"/>
      <c r="AZ263" s="12"/>
      <c r="BA263" s="12"/>
      <c r="BB263" s="12"/>
      <c r="BC263" s="15"/>
    </row>
    <row r="264" spans="3:55" ht="11.25" customHeight="1">
      <c r="C264" s="41"/>
      <c r="D264" s="15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15"/>
      <c r="U264" s="15"/>
      <c r="V264" s="41"/>
      <c r="W264" s="15"/>
      <c r="X264" s="41"/>
      <c r="Y264" s="41"/>
      <c r="Z264" s="41"/>
      <c r="AA264" s="41"/>
      <c r="AB264" s="41"/>
      <c r="AC264" s="41"/>
      <c r="AD264" s="15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15"/>
      <c r="AT264" s="41"/>
      <c r="AU264" s="41"/>
      <c r="AV264" s="41"/>
      <c r="AW264" s="41"/>
      <c r="AX264" s="12"/>
      <c r="AY264" s="12"/>
      <c r="AZ264" s="12"/>
      <c r="BA264" s="12"/>
      <c r="BB264" s="12"/>
      <c r="BC264" s="15"/>
    </row>
    <row r="265" spans="3:55" ht="11.25" customHeight="1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15"/>
      <c r="U265" s="15"/>
      <c r="V265" s="41"/>
      <c r="W265" s="15"/>
      <c r="X265" s="41"/>
      <c r="Y265" s="41"/>
      <c r="Z265" s="41"/>
      <c r="AA265" s="41"/>
      <c r="AB265" s="41"/>
      <c r="AC265" s="41"/>
      <c r="AD265" s="15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15"/>
      <c r="AT265" s="41"/>
      <c r="AU265" s="41"/>
      <c r="AV265" s="41"/>
      <c r="AW265" s="41"/>
      <c r="AX265" s="12"/>
      <c r="AY265" s="12"/>
      <c r="AZ265" s="12"/>
      <c r="BA265" s="12"/>
      <c r="BB265" s="12"/>
      <c r="BC265" s="15"/>
    </row>
    <row r="266" spans="3:55" ht="11.25" customHeight="1">
      <c r="C266" s="41"/>
      <c r="D266" s="41"/>
      <c r="E266" s="15"/>
      <c r="F266" s="41"/>
      <c r="G266" s="41"/>
      <c r="H266" s="41"/>
      <c r="I266" s="39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15"/>
      <c r="U266" s="15"/>
      <c r="V266" s="41"/>
      <c r="W266" s="15"/>
      <c r="X266" s="41"/>
      <c r="Y266" s="41"/>
      <c r="Z266" s="41"/>
      <c r="AA266" s="41"/>
      <c r="AB266" s="41"/>
      <c r="AC266" s="41"/>
      <c r="AD266" s="15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15"/>
      <c r="AT266" s="41"/>
      <c r="AU266" s="41"/>
      <c r="AV266" s="41"/>
      <c r="AW266" s="41"/>
      <c r="AX266" s="12"/>
      <c r="AY266" s="12"/>
      <c r="AZ266" s="12"/>
      <c r="BA266" s="12"/>
      <c r="BB266" s="12"/>
      <c r="BC266" s="15"/>
    </row>
    <row r="267" spans="3:55" ht="11.25" customHeight="1">
      <c r="C267" s="41"/>
      <c r="D267" s="41"/>
      <c r="E267" s="15"/>
      <c r="F267" s="41"/>
      <c r="G267" s="41"/>
      <c r="H267" s="41"/>
      <c r="I267" s="39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15"/>
      <c r="U267" s="15"/>
      <c r="V267" s="41"/>
      <c r="W267" s="15"/>
      <c r="X267" s="41"/>
      <c r="Y267" s="41"/>
      <c r="Z267" s="41"/>
      <c r="AA267" s="41"/>
      <c r="AB267" s="41"/>
      <c r="AC267" s="41"/>
      <c r="AD267" s="15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15"/>
      <c r="AT267" s="41"/>
      <c r="AU267" s="41"/>
      <c r="AV267" s="41"/>
      <c r="AW267" s="41"/>
      <c r="AX267" s="40"/>
      <c r="AY267" s="12"/>
      <c r="AZ267" s="12"/>
      <c r="BA267" s="12"/>
      <c r="BB267" s="12"/>
      <c r="BC267" s="15"/>
    </row>
    <row r="268" spans="3:55" ht="11.25" customHeight="1">
      <c r="C268" s="41"/>
      <c r="D268" s="41"/>
      <c r="E268" s="15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15"/>
      <c r="U268" s="15"/>
      <c r="V268" s="41"/>
      <c r="W268" s="15"/>
      <c r="X268" s="41"/>
      <c r="Y268" s="41"/>
      <c r="Z268" s="41"/>
      <c r="AA268" s="41"/>
      <c r="AB268" s="41"/>
      <c r="AC268" s="41"/>
      <c r="AD268" s="15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15"/>
      <c r="AT268" s="41"/>
      <c r="AU268" s="41"/>
      <c r="AV268" s="41"/>
      <c r="AW268" s="41"/>
      <c r="AX268" s="40"/>
      <c r="AY268" s="12"/>
      <c r="AZ268" s="12"/>
      <c r="BA268" s="12"/>
      <c r="BB268" s="12"/>
      <c r="BC268" s="15"/>
    </row>
    <row r="269" spans="3:55" ht="11.25" customHeight="1">
      <c r="C269" s="41"/>
      <c r="D269" s="41"/>
      <c r="E269" s="15"/>
      <c r="F269" s="41"/>
      <c r="G269" s="41"/>
      <c r="H269" s="41"/>
      <c r="I269" s="39"/>
      <c r="J269" s="41"/>
      <c r="K269" s="39"/>
      <c r="L269" s="41"/>
      <c r="M269" s="41"/>
      <c r="N269" s="41"/>
      <c r="O269" s="41"/>
      <c r="P269" s="41"/>
      <c r="Q269" s="41"/>
      <c r="R269" s="41"/>
      <c r="S269" s="41"/>
      <c r="T269" s="15"/>
      <c r="U269" s="15"/>
      <c r="V269" s="41"/>
      <c r="W269" s="15"/>
      <c r="X269" s="41"/>
      <c r="Y269" s="41"/>
      <c r="Z269" s="41"/>
      <c r="AA269" s="41"/>
      <c r="AB269" s="39"/>
      <c r="AC269" s="41"/>
      <c r="AD269" s="15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39"/>
      <c r="AQ269" s="41"/>
      <c r="AR269" s="39"/>
      <c r="AS269" s="15"/>
      <c r="AT269" s="41"/>
      <c r="AU269" s="41"/>
      <c r="AV269" s="41"/>
      <c r="AW269" s="41"/>
      <c r="AX269" s="40"/>
      <c r="AY269" s="12"/>
      <c r="AZ269" s="12"/>
      <c r="BA269" s="12"/>
      <c r="BB269" s="12"/>
      <c r="BC269" s="15"/>
    </row>
    <row r="270" spans="3:55" ht="11.25" customHeight="1">
      <c r="C270" s="41"/>
      <c r="D270" s="41"/>
      <c r="E270" s="41"/>
      <c r="F270" s="41"/>
      <c r="G270" s="41"/>
      <c r="H270" s="41"/>
      <c r="I270" s="41"/>
      <c r="J270" s="41"/>
      <c r="K270" s="12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15"/>
      <c r="X270" s="41"/>
      <c r="Y270" s="41"/>
      <c r="Z270" s="41"/>
      <c r="AA270" s="41"/>
      <c r="AB270" s="12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12"/>
      <c r="AQ270" s="41"/>
      <c r="AR270" s="12"/>
      <c r="AS270" s="41"/>
      <c r="AT270" s="41"/>
      <c r="AU270" s="41"/>
      <c r="AV270" s="41"/>
      <c r="AW270" s="41"/>
      <c r="AX270" s="41"/>
      <c r="AY270" s="12"/>
      <c r="AZ270" s="12"/>
      <c r="BA270" s="12"/>
      <c r="BB270" s="12"/>
      <c r="BC270" s="15"/>
    </row>
    <row r="271" spans="3:55" ht="11.25" customHeight="1">
      <c r="C271" s="41"/>
      <c r="D271" s="41"/>
      <c r="E271" s="41"/>
      <c r="F271" s="41"/>
      <c r="G271" s="41"/>
      <c r="H271" s="41"/>
      <c r="I271" s="41"/>
      <c r="J271" s="41"/>
      <c r="K271" s="39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15"/>
      <c r="X271" s="41"/>
      <c r="Y271" s="41"/>
      <c r="Z271" s="41"/>
      <c r="AA271" s="41"/>
      <c r="AB271" s="39"/>
      <c r="AC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39"/>
      <c r="AQ271" s="41"/>
      <c r="AR271" s="39"/>
      <c r="AS271" s="41"/>
      <c r="AT271" s="41"/>
      <c r="AU271" s="41"/>
      <c r="AV271" s="41"/>
      <c r="AW271" s="41"/>
      <c r="AX271" s="41"/>
      <c r="AY271" s="12"/>
      <c r="AZ271" s="12"/>
      <c r="BA271" s="12"/>
      <c r="BB271" s="12"/>
      <c r="BC271" s="15"/>
    </row>
    <row r="272" spans="3:55" ht="11.25" customHeight="1">
      <c r="C272" s="41"/>
      <c r="D272" s="41"/>
      <c r="E272" s="41"/>
      <c r="F272" s="41"/>
      <c r="G272" s="41"/>
      <c r="H272" s="41"/>
      <c r="I272" s="41"/>
      <c r="J272" s="41"/>
      <c r="K272" s="33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15"/>
      <c r="X272" s="41"/>
      <c r="Y272" s="41"/>
      <c r="Z272" s="41"/>
      <c r="AA272" s="41"/>
      <c r="AB272" s="33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33"/>
      <c r="AQ272" s="41"/>
      <c r="AR272" s="33"/>
      <c r="AS272" s="41"/>
      <c r="AT272" s="41"/>
      <c r="AU272" s="41"/>
      <c r="AV272" s="41"/>
      <c r="AW272" s="41"/>
      <c r="AX272" s="41"/>
      <c r="AY272" s="12"/>
      <c r="AZ272" s="12"/>
      <c r="BA272" s="12"/>
      <c r="BB272" s="12"/>
      <c r="BC272" s="15"/>
    </row>
    <row r="273" spans="3:55" ht="11.25" customHeight="1">
      <c r="C273" s="39"/>
      <c r="E273" s="39"/>
      <c r="F273" s="39"/>
      <c r="G273" s="39"/>
      <c r="H273" s="39"/>
      <c r="I273" s="41"/>
      <c r="J273" s="39"/>
      <c r="L273" s="39"/>
      <c r="M273" s="39"/>
      <c r="N273" s="39"/>
      <c r="O273" s="39"/>
      <c r="P273" s="39"/>
      <c r="Q273" s="39"/>
      <c r="R273" s="39"/>
      <c r="S273" s="40"/>
      <c r="V273" s="39"/>
      <c r="W273" s="26"/>
      <c r="X273" s="39"/>
      <c r="Y273" s="39"/>
      <c r="Z273" s="39"/>
      <c r="AA273" s="39"/>
      <c r="AC273" s="39"/>
      <c r="AE273" s="39"/>
      <c r="AF273" s="39"/>
      <c r="AG273" s="39"/>
      <c r="AH273" s="39"/>
      <c r="AI273" s="39"/>
      <c r="AJ273" s="39"/>
      <c r="AK273" s="40"/>
      <c r="AL273" s="39"/>
      <c r="AM273" s="39"/>
      <c r="AN273" s="39"/>
      <c r="AO273" s="39"/>
      <c r="AQ273" s="39"/>
      <c r="AT273" s="39"/>
      <c r="AU273" s="39"/>
      <c r="AV273" s="39"/>
      <c r="AW273" s="39"/>
      <c r="AX273" s="40"/>
      <c r="AY273" s="12"/>
      <c r="AZ273" s="12"/>
      <c r="BA273" s="12"/>
      <c r="BB273" s="12"/>
      <c r="BC273" s="15"/>
    </row>
    <row r="274" spans="3:55" ht="11.25" customHeight="1">
      <c r="C274" s="12"/>
      <c r="D274" s="12"/>
      <c r="E274" s="12"/>
      <c r="F274" s="12"/>
      <c r="G274" s="12"/>
      <c r="H274" s="12"/>
      <c r="I274" s="41"/>
      <c r="J274" s="12"/>
      <c r="L274" s="12"/>
      <c r="M274" s="12"/>
      <c r="N274" s="12"/>
      <c r="O274" s="12"/>
      <c r="P274" s="12"/>
      <c r="Q274" s="12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Q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33"/>
    </row>
    <row r="275" spans="3:54" ht="11.25" customHeight="1">
      <c r="C275" s="39"/>
      <c r="E275" s="39"/>
      <c r="F275" s="39"/>
      <c r="G275" s="39"/>
      <c r="H275" s="39"/>
      <c r="I275" s="41"/>
      <c r="J275" s="39"/>
      <c r="L275" s="39"/>
      <c r="M275" s="39"/>
      <c r="N275" s="39"/>
      <c r="O275" s="39"/>
      <c r="P275" s="39"/>
      <c r="Q275" s="39"/>
      <c r="R275" s="39"/>
      <c r="S275" s="40"/>
      <c r="V275" s="39"/>
      <c r="W275" s="26"/>
      <c r="X275" s="39"/>
      <c r="Y275" s="39"/>
      <c r="Z275" s="39"/>
      <c r="AA275" s="39"/>
      <c r="AC275" s="39"/>
      <c r="AE275" s="39"/>
      <c r="AF275" s="39"/>
      <c r="AG275" s="39"/>
      <c r="AH275" s="39"/>
      <c r="AI275" s="39"/>
      <c r="AJ275" s="39"/>
      <c r="AK275" s="40"/>
      <c r="AL275" s="39"/>
      <c r="AM275" s="39"/>
      <c r="AN275" s="39"/>
      <c r="AO275" s="39"/>
      <c r="AQ275" s="39"/>
      <c r="AT275" s="39"/>
      <c r="AU275" s="39"/>
      <c r="AV275" s="39"/>
      <c r="AW275" s="39"/>
      <c r="AX275" s="40"/>
      <c r="AY275" s="12"/>
      <c r="AZ275" s="12"/>
      <c r="BA275" s="12"/>
      <c r="BB275" s="12"/>
    </row>
    <row r="276" spans="3:54" ht="11.25" customHeight="1">
      <c r="C276" s="33"/>
      <c r="D276" s="33"/>
      <c r="E276" s="33"/>
      <c r="F276" s="33"/>
      <c r="G276" s="33"/>
      <c r="H276" s="33"/>
      <c r="I276" s="33"/>
      <c r="J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Q276" s="33"/>
      <c r="AS276" s="33"/>
      <c r="AT276" s="33"/>
      <c r="AU276" s="33"/>
      <c r="AV276" s="33"/>
      <c r="AW276" s="33"/>
      <c r="AX276" s="33"/>
      <c r="AY276" s="14"/>
      <c r="AZ276" s="14"/>
      <c r="BA276" s="14"/>
      <c r="BB276" s="14"/>
    </row>
    <row r="277" spans="53:54" ht="11.25" customHeight="1">
      <c r="BA277" s="12"/>
      <c r="BB277" s="12"/>
    </row>
    <row r="278" spans="53:54" ht="11.25" customHeight="1">
      <c r="BA278" s="12"/>
      <c r="BB278" s="12"/>
    </row>
    <row r="279" spans="53:54" ht="11.25" customHeight="1">
      <c r="BA279" s="12"/>
      <c r="BB279" s="12"/>
    </row>
  </sheetData>
  <sheetProtection/>
  <mergeCells count="46">
    <mergeCell ref="Z1:Z3"/>
    <mergeCell ref="Y1:Y3"/>
    <mergeCell ref="AK1:AK3"/>
    <mergeCell ref="C1:D1"/>
    <mergeCell ref="N1:N3"/>
    <mergeCell ref="T1:T3"/>
    <mergeCell ref="E1:E3"/>
    <mergeCell ref="S1:S3"/>
    <mergeCell ref="M1:M3"/>
    <mergeCell ref="F1:F3"/>
    <mergeCell ref="AU1:AU3"/>
    <mergeCell ref="AO1:AO3"/>
    <mergeCell ref="AM1:AM3"/>
    <mergeCell ref="AJ1:AJ3"/>
    <mergeCell ref="AV1:AV3"/>
    <mergeCell ref="AF1:AF3"/>
    <mergeCell ref="AQ1:AQ3"/>
    <mergeCell ref="AG1:AH1"/>
    <mergeCell ref="X1:X3"/>
    <mergeCell ref="L1:L3"/>
    <mergeCell ref="G1:H1"/>
    <mergeCell ref="O1:O3"/>
    <mergeCell ref="V1:W1"/>
    <mergeCell ref="I1:K1"/>
    <mergeCell ref="Q1:R1"/>
    <mergeCell ref="U1:U3"/>
    <mergeCell ref="AE1:AE3"/>
    <mergeCell ref="AT1:AT3"/>
    <mergeCell ref="AW1:AW3"/>
    <mergeCell ref="AS1:AS3"/>
    <mergeCell ref="AL1:AL3"/>
    <mergeCell ref="AA1:AA3"/>
    <mergeCell ref="AI1:AI3"/>
    <mergeCell ref="AC1:AC3"/>
    <mergeCell ref="AN1:AN3"/>
    <mergeCell ref="AD1:AD3"/>
    <mergeCell ref="G4:H4"/>
    <mergeCell ref="Q4:R4"/>
    <mergeCell ref="AG4:AH4"/>
    <mergeCell ref="C4:D4"/>
    <mergeCell ref="V4:W4"/>
    <mergeCell ref="AX1:AX3"/>
    <mergeCell ref="P1:P3"/>
    <mergeCell ref="AB1:AB3"/>
    <mergeCell ref="AP1:AP3"/>
    <mergeCell ref="AR1:AR3"/>
  </mergeCells>
  <printOptions/>
  <pageMargins left="0.4724409448818898" right="0.2755905511811024" top="0.8267716535433072" bottom="0" header="0.1968503937007874" footer="0.11811023622047245"/>
  <pageSetup firstPageNumber="30" useFirstPageNumber="1" horizontalDpi="600" verticalDpi="600" orientation="portrait" paperSize="9" r:id="rId1"/>
  <headerFooter alignWithMargins="0">
    <oddHeader>&amp;C&amp;"Times New Roman,Bold"&amp;12 4.1. SAMTRYGGINGARDEILDIR      
YFIRLIT, EFNAHAGSREIKNINGAR OG SJÓÐSTREYMI ÁRIÐ 2006</oddHeader>
    <oddFooter>&amp;R&amp;"Times New Roman,Regular"&amp;P</oddFooter>
  </headerFooter>
  <colBreaks count="2" manualBreakCount="2">
    <brk id="8" max="158" man="1"/>
    <brk id="21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G10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3" sqref="A43"/>
    </sheetView>
  </sheetViews>
  <sheetFormatPr defaultColWidth="9.140625" defaultRowHeight="12.75" customHeight="1"/>
  <cols>
    <col min="1" max="1" width="23.57421875" style="26" customWidth="1"/>
    <col min="2" max="2" width="3.00390625" style="63" bestFit="1" customWidth="1"/>
    <col min="3" max="4" width="9.28125" style="32" customWidth="1"/>
    <col min="5" max="5" width="9.7109375" style="32" customWidth="1"/>
    <col min="6" max="6" width="9.7109375" style="26" customWidth="1"/>
    <col min="7" max="11" width="9.28125" style="32" customWidth="1"/>
    <col min="12" max="12" width="9.7109375" style="32" customWidth="1"/>
    <col min="13" max="13" width="9.7109375" style="26" customWidth="1"/>
    <col min="14" max="16" width="9.7109375" style="32" customWidth="1"/>
    <col min="17" max="18" width="9.28125" style="32" customWidth="1"/>
    <col min="19" max="20" width="9.7109375" style="26" customWidth="1"/>
    <col min="21" max="21" width="9.7109375" style="32" customWidth="1"/>
    <col min="22" max="23" width="9.28125" style="32" customWidth="1"/>
    <col min="24" max="24" width="9.7109375" style="26" customWidth="1"/>
    <col min="25" max="25" width="9.7109375" style="32" customWidth="1"/>
    <col min="26" max="26" width="9.7109375" style="26" customWidth="1"/>
    <col min="27" max="32" width="9.7109375" style="32" customWidth="1"/>
    <col min="33" max="33" width="9.28125" style="26" customWidth="1"/>
    <col min="34" max="34" width="9.28125" style="32" customWidth="1"/>
    <col min="35" max="37" width="9.7109375" style="32" customWidth="1"/>
    <col min="38" max="38" width="9.7109375" style="26" customWidth="1"/>
    <col min="39" max="40" width="9.7109375" style="32" customWidth="1"/>
    <col min="41" max="41" width="9.7109375" style="26" customWidth="1"/>
    <col min="42" max="50" width="9.7109375" style="32" customWidth="1"/>
    <col min="51" max="51" width="5.7109375" style="32" customWidth="1"/>
    <col min="52" max="52" width="11.8515625" style="32" customWidth="1"/>
    <col min="53" max="53" width="2.7109375" style="32" customWidth="1"/>
    <col min="54" max="54" width="10.57421875" style="32" customWidth="1"/>
    <col min="55" max="55" width="11.8515625" style="32" customWidth="1"/>
    <col min="56" max="56" width="13.140625" style="32" customWidth="1"/>
    <col min="57" max="16384" width="9.140625" style="32" customWidth="1"/>
  </cols>
  <sheetData>
    <row r="1" spans="1:90" s="11" customFormat="1" ht="10.5" customHeight="1">
      <c r="A1" s="37"/>
      <c r="B1" s="32"/>
      <c r="C1" s="364" t="s">
        <v>173</v>
      </c>
      <c r="D1" s="364"/>
      <c r="E1" s="360" t="s">
        <v>176</v>
      </c>
      <c r="F1" s="360" t="s">
        <v>25</v>
      </c>
      <c r="G1" s="364" t="s">
        <v>0</v>
      </c>
      <c r="H1" s="364"/>
      <c r="I1" s="364" t="s">
        <v>23</v>
      </c>
      <c r="J1" s="364"/>
      <c r="K1" s="364"/>
      <c r="L1" s="360" t="s">
        <v>33</v>
      </c>
      <c r="M1" s="360" t="s">
        <v>235</v>
      </c>
      <c r="N1" s="360" t="s">
        <v>29</v>
      </c>
      <c r="O1" s="360" t="s">
        <v>2</v>
      </c>
      <c r="P1" s="360" t="s">
        <v>24</v>
      </c>
      <c r="Q1" s="364" t="s">
        <v>3</v>
      </c>
      <c r="R1" s="364"/>
      <c r="S1" s="360" t="s">
        <v>27</v>
      </c>
      <c r="T1" s="360" t="s">
        <v>31</v>
      </c>
      <c r="U1" s="360" t="s">
        <v>32</v>
      </c>
      <c r="V1" s="364" t="s">
        <v>242</v>
      </c>
      <c r="W1" s="364"/>
      <c r="X1" s="360" t="s">
        <v>236</v>
      </c>
      <c r="Y1" s="360" t="s">
        <v>165</v>
      </c>
      <c r="Z1" s="360" t="s">
        <v>244</v>
      </c>
      <c r="AA1" s="360" t="s">
        <v>28</v>
      </c>
      <c r="AB1" s="360" t="s">
        <v>159</v>
      </c>
      <c r="AC1" s="360" t="s">
        <v>172</v>
      </c>
      <c r="AD1" s="360" t="s">
        <v>241</v>
      </c>
      <c r="AE1" s="360" t="s">
        <v>234</v>
      </c>
      <c r="AF1" s="360" t="s">
        <v>30</v>
      </c>
      <c r="AG1" s="364" t="s">
        <v>237</v>
      </c>
      <c r="AH1" s="364"/>
      <c r="AI1" s="360" t="s">
        <v>239</v>
      </c>
      <c r="AJ1" s="360" t="s">
        <v>175</v>
      </c>
      <c r="AK1" s="360" t="s">
        <v>171</v>
      </c>
      <c r="AL1" s="360" t="s">
        <v>168</v>
      </c>
      <c r="AM1" s="360" t="s">
        <v>160</v>
      </c>
      <c r="AN1" s="360" t="s">
        <v>166</v>
      </c>
      <c r="AO1" s="360" t="s">
        <v>163</v>
      </c>
      <c r="AP1" s="360" t="s">
        <v>4</v>
      </c>
      <c r="AQ1" s="360" t="s">
        <v>161</v>
      </c>
      <c r="AR1" s="360" t="s">
        <v>5</v>
      </c>
      <c r="AS1" s="360" t="s">
        <v>167</v>
      </c>
      <c r="AT1" s="360" t="s">
        <v>6</v>
      </c>
      <c r="AU1" s="360" t="s">
        <v>169</v>
      </c>
      <c r="AV1" s="360" t="s">
        <v>240</v>
      </c>
      <c r="AW1" s="360" t="s">
        <v>174</v>
      </c>
      <c r="AX1" s="360" t="s">
        <v>162</v>
      </c>
      <c r="AY1" s="12"/>
      <c r="AZ1" s="13" t="s">
        <v>9</v>
      </c>
      <c r="BA1" s="13"/>
      <c r="BB1" s="13" t="s">
        <v>7</v>
      </c>
      <c r="BC1" s="13" t="s">
        <v>7</v>
      </c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</row>
    <row r="2" spans="1:90" s="11" customFormat="1" ht="10.5" customHeight="1">
      <c r="A2" s="37"/>
      <c r="B2" s="32"/>
      <c r="C2" s="14"/>
      <c r="D2" s="14"/>
      <c r="E2" s="360"/>
      <c r="F2" s="360"/>
      <c r="G2" s="14"/>
      <c r="H2" s="14"/>
      <c r="I2" s="13"/>
      <c r="J2" s="13"/>
      <c r="K2" s="13"/>
      <c r="L2" s="360"/>
      <c r="M2" s="360"/>
      <c r="N2" s="360"/>
      <c r="O2" s="360"/>
      <c r="P2" s="360"/>
      <c r="Q2" s="14"/>
      <c r="R2" s="14"/>
      <c r="S2" s="360"/>
      <c r="T2" s="360"/>
      <c r="U2" s="360"/>
      <c r="V2" s="14"/>
      <c r="W2" s="14"/>
      <c r="X2" s="360"/>
      <c r="Y2" s="360"/>
      <c r="Z2" s="360"/>
      <c r="AA2" s="360"/>
      <c r="AB2" s="360"/>
      <c r="AC2" s="360"/>
      <c r="AD2" s="360"/>
      <c r="AE2" s="360"/>
      <c r="AF2" s="360"/>
      <c r="AG2" s="14"/>
      <c r="AH2" s="14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12"/>
      <c r="AZ2" s="13" t="s">
        <v>12</v>
      </c>
      <c r="BA2" s="13"/>
      <c r="BB2" s="13" t="s">
        <v>10</v>
      </c>
      <c r="BC2" s="13" t="s">
        <v>11</v>
      </c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</row>
    <row r="3" spans="1:90" s="11" customFormat="1" ht="10.5" customHeight="1">
      <c r="A3" s="37"/>
      <c r="B3" s="32"/>
      <c r="E3" s="360" t="s">
        <v>37</v>
      </c>
      <c r="F3" s="360" t="s">
        <v>37</v>
      </c>
      <c r="I3" s="10"/>
      <c r="J3" s="10"/>
      <c r="K3" s="10"/>
      <c r="L3" s="360" t="s">
        <v>37</v>
      </c>
      <c r="M3" s="360" t="s">
        <v>37</v>
      </c>
      <c r="N3" s="360" t="s">
        <v>38</v>
      </c>
      <c r="O3" s="360" t="s">
        <v>37</v>
      </c>
      <c r="P3" s="360" t="s">
        <v>37</v>
      </c>
      <c r="Q3" s="10"/>
      <c r="R3" s="10"/>
      <c r="S3" s="360" t="s">
        <v>38</v>
      </c>
      <c r="T3" s="360" t="s">
        <v>37</v>
      </c>
      <c r="U3" s="360" t="s">
        <v>37</v>
      </c>
      <c r="X3" s="360" t="s">
        <v>37</v>
      </c>
      <c r="Y3" s="360" t="s">
        <v>37</v>
      </c>
      <c r="Z3" s="360" t="s">
        <v>37</v>
      </c>
      <c r="AA3" s="360" t="s">
        <v>37</v>
      </c>
      <c r="AB3" s="360"/>
      <c r="AC3" s="360" t="s">
        <v>37</v>
      </c>
      <c r="AD3" s="360" t="s">
        <v>37</v>
      </c>
      <c r="AE3" s="360" t="s">
        <v>37</v>
      </c>
      <c r="AF3" s="360" t="s">
        <v>37</v>
      </c>
      <c r="AG3" s="10"/>
      <c r="AH3" s="10"/>
      <c r="AI3" s="360" t="s">
        <v>37</v>
      </c>
      <c r="AJ3" s="360" t="s">
        <v>37</v>
      </c>
      <c r="AK3" s="360" t="s">
        <v>37</v>
      </c>
      <c r="AL3" s="360" t="s">
        <v>37</v>
      </c>
      <c r="AM3" s="360" t="s">
        <v>14</v>
      </c>
      <c r="AN3" s="360" t="s">
        <v>37</v>
      </c>
      <c r="AO3" s="360" t="s">
        <v>37</v>
      </c>
      <c r="AP3" s="360" t="s">
        <v>37</v>
      </c>
      <c r="AQ3" s="360" t="s">
        <v>37</v>
      </c>
      <c r="AR3" s="360" t="s">
        <v>37</v>
      </c>
      <c r="AS3" s="360" t="s">
        <v>37</v>
      </c>
      <c r="AT3" s="360" t="s">
        <v>37</v>
      </c>
      <c r="AU3" s="360"/>
      <c r="AV3" s="360" t="s">
        <v>37</v>
      </c>
      <c r="AW3" s="360" t="s">
        <v>18</v>
      </c>
      <c r="AX3" s="360" t="s">
        <v>37</v>
      </c>
      <c r="AY3" s="12"/>
      <c r="AZ3" s="13"/>
      <c r="BA3" s="13"/>
      <c r="BB3" s="13" t="s">
        <v>13</v>
      </c>
      <c r="BC3" s="13" t="s">
        <v>13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</row>
    <row r="4" spans="1:51" s="11" customFormat="1" ht="12.75" customHeight="1">
      <c r="A4" s="4"/>
      <c r="B4" s="28"/>
      <c r="C4" s="363" t="s">
        <v>544</v>
      </c>
      <c r="D4" s="363"/>
      <c r="E4" s="332" t="s">
        <v>578</v>
      </c>
      <c r="F4" s="332" t="s">
        <v>555</v>
      </c>
      <c r="G4" s="363" t="s">
        <v>582</v>
      </c>
      <c r="H4" s="363"/>
      <c r="I4" s="10"/>
      <c r="J4" s="332" t="s">
        <v>545</v>
      </c>
      <c r="K4" s="10"/>
      <c r="L4" s="332" t="s">
        <v>584</v>
      </c>
      <c r="M4" s="332" t="s">
        <v>554</v>
      </c>
      <c r="N4" s="332" t="s">
        <v>566</v>
      </c>
      <c r="O4" s="332" t="s">
        <v>583</v>
      </c>
      <c r="P4" s="332" t="s">
        <v>553</v>
      </c>
      <c r="Q4" s="363" t="s">
        <v>560</v>
      </c>
      <c r="R4" s="363"/>
      <c r="S4" s="332" t="s">
        <v>558</v>
      </c>
      <c r="T4" s="332" t="s">
        <v>577</v>
      </c>
      <c r="U4" s="332" t="s">
        <v>579</v>
      </c>
      <c r="V4" s="363" t="s">
        <v>574</v>
      </c>
      <c r="W4" s="363"/>
      <c r="X4" s="332" t="s">
        <v>556</v>
      </c>
      <c r="Y4" s="332" t="s">
        <v>563</v>
      </c>
      <c r="Z4" s="332" t="s">
        <v>580</v>
      </c>
      <c r="AA4" s="332" t="s">
        <v>559</v>
      </c>
      <c r="AB4" s="332" t="s">
        <v>546</v>
      </c>
      <c r="AC4" s="332" t="s">
        <v>573</v>
      </c>
      <c r="AD4" s="332" t="s">
        <v>570</v>
      </c>
      <c r="AE4" s="332" t="s">
        <v>549</v>
      </c>
      <c r="AF4" s="332" t="s">
        <v>567</v>
      </c>
      <c r="AG4" s="363" t="s">
        <v>561</v>
      </c>
      <c r="AH4" s="363"/>
      <c r="AI4" s="332" t="s">
        <v>562</v>
      </c>
      <c r="AJ4" s="332" t="s">
        <v>576</v>
      </c>
      <c r="AK4" s="332" t="s">
        <v>572</v>
      </c>
      <c r="AL4" s="332" t="s">
        <v>569</v>
      </c>
      <c r="AM4" s="332" t="s">
        <v>550</v>
      </c>
      <c r="AN4" s="332" t="s">
        <v>564</v>
      </c>
      <c r="AO4" s="332" t="s">
        <v>557</v>
      </c>
      <c r="AP4" s="332" t="s">
        <v>547</v>
      </c>
      <c r="AQ4" s="332" t="s">
        <v>551</v>
      </c>
      <c r="AR4" s="332" t="s">
        <v>548</v>
      </c>
      <c r="AS4" s="332" t="s">
        <v>568</v>
      </c>
      <c r="AT4" s="332" t="s">
        <v>581</v>
      </c>
      <c r="AU4" s="332" t="s">
        <v>571</v>
      </c>
      <c r="AV4" s="332" t="s">
        <v>565</v>
      </c>
      <c r="AW4" s="332" t="s">
        <v>575</v>
      </c>
      <c r="AX4" s="332" t="s">
        <v>552</v>
      </c>
      <c r="AY4" s="10"/>
    </row>
    <row r="5" spans="1:55" s="11" customFormat="1" ht="12.75" customHeight="1">
      <c r="A5" s="4"/>
      <c r="B5" s="28"/>
      <c r="C5" s="10" t="s">
        <v>15</v>
      </c>
      <c r="D5" s="10" t="s">
        <v>14</v>
      </c>
      <c r="E5" s="295"/>
      <c r="F5" s="295"/>
      <c r="G5" s="10" t="s">
        <v>177</v>
      </c>
      <c r="H5" s="10" t="s">
        <v>16</v>
      </c>
      <c r="I5" s="10" t="s">
        <v>34</v>
      </c>
      <c r="J5" s="10" t="s">
        <v>35</v>
      </c>
      <c r="K5" s="10" t="s">
        <v>36</v>
      </c>
      <c r="L5" s="295"/>
      <c r="M5" s="295"/>
      <c r="N5" s="295"/>
      <c r="O5" s="295"/>
      <c r="P5" s="295"/>
      <c r="Q5" s="10" t="s">
        <v>39</v>
      </c>
      <c r="R5" s="10" t="s">
        <v>16</v>
      </c>
      <c r="S5" s="295"/>
      <c r="T5" s="295"/>
      <c r="U5" s="295"/>
      <c r="V5" s="10" t="s">
        <v>15</v>
      </c>
      <c r="W5" s="10" t="s">
        <v>17</v>
      </c>
      <c r="X5" s="295"/>
      <c r="Y5" s="295"/>
      <c r="Z5" s="295"/>
      <c r="AA5" s="295"/>
      <c r="AB5" s="295"/>
      <c r="AC5" s="295"/>
      <c r="AD5" s="295"/>
      <c r="AE5" s="295"/>
      <c r="AF5" s="295"/>
      <c r="AG5" s="10" t="s">
        <v>18</v>
      </c>
      <c r="AH5" s="10" t="s">
        <v>19</v>
      </c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10"/>
      <c r="AZ5" s="21" t="str">
        <f>CONCATENATE(AZ60," deildir")</f>
        <v>48 deildir</v>
      </c>
      <c r="BA5" s="10"/>
      <c r="BB5" s="21" t="str">
        <f>CONCATENATE(BB60," deildir")</f>
        <v>14 deildir</v>
      </c>
      <c r="BC5" s="21" t="str">
        <f>CONCATENATE(BC60," deildir")</f>
        <v>34 deildir</v>
      </c>
    </row>
    <row r="6" spans="1:55" s="11" customFormat="1" ht="12.75" customHeight="1">
      <c r="A6" s="4"/>
      <c r="B6" s="28"/>
      <c r="C6" s="10"/>
      <c r="D6" s="10"/>
      <c r="E6" s="295"/>
      <c r="F6" s="295"/>
      <c r="G6" s="10"/>
      <c r="H6" s="10"/>
      <c r="I6" s="10"/>
      <c r="J6" s="10"/>
      <c r="K6" s="10"/>
      <c r="L6" s="295"/>
      <c r="M6" s="295"/>
      <c r="N6" s="295"/>
      <c r="O6" s="295"/>
      <c r="P6" s="295"/>
      <c r="Q6" s="10"/>
      <c r="R6" s="10"/>
      <c r="S6" s="295"/>
      <c r="T6" s="295"/>
      <c r="U6" s="295"/>
      <c r="V6" s="10"/>
      <c r="W6" s="10"/>
      <c r="X6" s="295"/>
      <c r="Y6" s="295"/>
      <c r="Z6" s="295"/>
      <c r="AA6" s="295"/>
      <c r="AB6" s="295"/>
      <c r="AC6" s="295"/>
      <c r="AD6" s="295"/>
      <c r="AE6" s="295"/>
      <c r="AF6" s="295"/>
      <c r="AG6" s="10"/>
      <c r="AH6" s="10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10"/>
      <c r="AZ6" s="21"/>
      <c r="BA6" s="10"/>
      <c r="BB6" s="21"/>
      <c r="BC6" s="21"/>
    </row>
    <row r="7" spans="1:55" s="97" customFormat="1" ht="12.75" customHeight="1">
      <c r="A7" s="93" t="s">
        <v>613</v>
      </c>
      <c r="B7" s="28">
        <v>1</v>
      </c>
      <c r="C7" s="96">
        <f aca="true" t="shared" si="0" ref="C7:H7">+C74</f>
        <v>10.859154809356465</v>
      </c>
      <c r="D7" s="96">
        <f t="shared" si="0"/>
        <v>10.968752565834027</v>
      </c>
      <c r="E7" s="96">
        <f t="shared" si="0"/>
        <v>12.618722861979625</v>
      </c>
      <c r="F7" s="96">
        <f t="shared" si="0"/>
        <v>9.371468492821222</v>
      </c>
      <c r="G7" s="96">
        <f t="shared" si="0"/>
        <v>11.77131137294296</v>
      </c>
      <c r="H7" s="96">
        <f t="shared" si="0"/>
        <v>11.793826926624028</v>
      </c>
      <c r="I7" s="95">
        <v>10.3</v>
      </c>
      <c r="J7" s="95">
        <v>2.8</v>
      </c>
      <c r="K7" s="95">
        <v>13.3</v>
      </c>
      <c r="L7" s="96">
        <f aca="true" t="shared" si="1" ref="L7:W7">+L74</f>
        <v>8.990747411361678</v>
      </c>
      <c r="M7" s="96">
        <f t="shared" si="1"/>
        <v>11.412035525037577</v>
      </c>
      <c r="N7" s="96">
        <f t="shared" si="1"/>
        <v>8.64339505931737</v>
      </c>
      <c r="O7" s="96">
        <f t="shared" si="1"/>
        <v>10.4983929526812</v>
      </c>
      <c r="P7" s="96">
        <f t="shared" si="1"/>
        <v>11.05935743817328</v>
      </c>
      <c r="Q7" s="96">
        <f t="shared" si="1"/>
        <v>5.7602154325518296</v>
      </c>
      <c r="R7" s="96">
        <f t="shared" si="1"/>
        <v>9.838285094013631</v>
      </c>
      <c r="S7" s="96">
        <f t="shared" si="1"/>
        <v>8.83218804311432</v>
      </c>
      <c r="T7" s="96">
        <f t="shared" si="1"/>
        <v>9.615086297264309</v>
      </c>
      <c r="U7" s="96">
        <f t="shared" si="1"/>
        <v>9.171572856373732</v>
      </c>
      <c r="V7" s="96">
        <f t="shared" si="1"/>
        <v>7.504384245583906</v>
      </c>
      <c r="W7" s="96">
        <f t="shared" si="1"/>
        <v>8.353264426374007</v>
      </c>
      <c r="X7" s="95">
        <v>11.9</v>
      </c>
      <c r="Y7" s="96">
        <f aca="true" t="shared" si="2" ref="Y7:AX7">+Y74</f>
        <v>11.09014455985391</v>
      </c>
      <c r="Z7" s="96">
        <f t="shared" si="2"/>
        <v>12.738835618941891</v>
      </c>
      <c r="AA7" s="96">
        <f t="shared" si="2"/>
        <v>8.635907330625958</v>
      </c>
      <c r="AB7" s="96">
        <f t="shared" si="2"/>
        <v>8.76868385965972</v>
      </c>
      <c r="AC7" s="96">
        <f t="shared" si="2"/>
        <v>3.8140717567359372</v>
      </c>
      <c r="AD7" s="96">
        <f t="shared" si="2"/>
        <v>6.458812413258164</v>
      </c>
      <c r="AE7" s="96">
        <f t="shared" si="2"/>
        <v>1.2509635991757362</v>
      </c>
      <c r="AF7" s="96">
        <f t="shared" si="2"/>
        <v>6.7628258566793775</v>
      </c>
      <c r="AG7" s="96">
        <f t="shared" si="2"/>
        <v>6.369749146105574</v>
      </c>
      <c r="AH7" s="96">
        <f t="shared" si="2"/>
        <v>1.904567606625207</v>
      </c>
      <c r="AI7" s="96">
        <f t="shared" si="2"/>
        <v>6.875247902352899</v>
      </c>
      <c r="AJ7" s="96">
        <f t="shared" si="2"/>
        <v>7.64368915862168</v>
      </c>
      <c r="AK7" s="96">
        <f t="shared" si="2"/>
        <v>8.646859063163737</v>
      </c>
      <c r="AL7" s="96">
        <f t="shared" si="2"/>
        <v>7.064296591488772</v>
      </c>
      <c r="AM7" s="96">
        <f t="shared" si="2"/>
        <v>10.819696740131302</v>
      </c>
      <c r="AN7" s="96">
        <f t="shared" si="2"/>
        <v>7.489690005384464</v>
      </c>
      <c r="AO7" s="96">
        <f t="shared" si="2"/>
        <v>8.066690751799488</v>
      </c>
      <c r="AP7" s="96">
        <f t="shared" si="2"/>
        <v>9.690426363889726</v>
      </c>
      <c r="AQ7" s="96">
        <f t="shared" si="2"/>
        <v>5.1308106035985235</v>
      </c>
      <c r="AR7" s="96">
        <f t="shared" si="2"/>
        <v>6.04236391668449</v>
      </c>
      <c r="AS7" s="96">
        <f t="shared" si="2"/>
        <v>5.070819373044144</v>
      </c>
      <c r="AT7" s="96">
        <f t="shared" si="2"/>
        <v>5.113954907877227</v>
      </c>
      <c r="AU7" s="96">
        <f t="shared" si="2"/>
        <v>3.003500007061488</v>
      </c>
      <c r="AV7" s="96">
        <f t="shared" si="2"/>
        <v>0.15587040448619138</v>
      </c>
      <c r="AW7" s="96">
        <f t="shared" si="2"/>
        <v>-1.4452989448668796</v>
      </c>
      <c r="AX7" s="96">
        <f t="shared" si="2"/>
        <v>-4.73698128190676</v>
      </c>
      <c r="AZ7" s="93">
        <f>+AZ74</f>
        <v>10.241612026843061</v>
      </c>
      <c r="BA7" s="93"/>
      <c r="BB7" s="93">
        <f>+BB74</f>
        <v>-6.620274083761169</v>
      </c>
      <c r="BC7" s="93">
        <f>+BC74</f>
        <v>10.267288984055668</v>
      </c>
    </row>
    <row r="8" spans="1:55" ht="12.75" customHeight="1">
      <c r="A8" s="6" t="s">
        <v>610</v>
      </c>
      <c r="B8" s="28">
        <v>2</v>
      </c>
      <c r="C8" s="81">
        <v>8.1</v>
      </c>
      <c r="D8" s="81">
        <v>8.7</v>
      </c>
      <c r="E8" s="81">
        <v>9.8</v>
      </c>
      <c r="F8" s="81">
        <v>11</v>
      </c>
      <c r="G8" s="81">
        <v>5.2</v>
      </c>
      <c r="H8" s="81">
        <v>5.2</v>
      </c>
      <c r="I8" s="81" t="s">
        <v>251</v>
      </c>
      <c r="J8" s="81" t="s">
        <v>251</v>
      </c>
      <c r="K8" s="81">
        <v>8.7</v>
      </c>
      <c r="L8" s="81">
        <v>8.6</v>
      </c>
      <c r="M8" s="81">
        <v>7.4</v>
      </c>
      <c r="N8" s="81">
        <v>8.4</v>
      </c>
      <c r="O8" s="81">
        <v>8.8</v>
      </c>
      <c r="P8" s="81">
        <v>6.6</v>
      </c>
      <c r="Q8" s="81">
        <v>5.5</v>
      </c>
      <c r="R8" s="81">
        <v>8</v>
      </c>
      <c r="S8" s="81">
        <v>5</v>
      </c>
      <c r="T8" s="81">
        <v>4.8</v>
      </c>
      <c r="U8" s="81">
        <v>8.7</v>
      </c>
      <c r="V8" s="81">
        <v>6.8</v>
      </c>
      <c r="W8" s="81">
        <v>7.3</v>
      </c>
      <c r="X8" s="81">
        <v>6.9</v>
      </c>
      <c r="Y8" s="81">
        <v>8.5</v>
      </c>
      <c r="Z8" s="81">
        <v>8.9</v>
      </c>
      <c r="AA8" s="81">
        <v>6</v>
      </c>
      <c r="AB8" s="81">
        <v>5.6</v>
      </c>
      <c r="AC8" s="81">
        <v>4.8</v>
      </c>
      <c r="AD8" s="81">
        <v>8.5</v>
      </c>
      <c r="AE8" s="81">
        <v>3.6</v>
      </c>
      <c r="AF8" s="81">
        <v>5.5</v>
      </c>
      <c r="AG8" s="81">
        <v>10</v>
      </c>
      <c r="AH8" s="81">
        <v>3.6</v>
      </c>
      <c r="AI8" s="81">
        <v>7.1</v>
      </c>
      <c r="AJ8" s="81">
        <v>7.5</v>
      </c>
      <c r="AK8" s="81">
        <v>6.1</v>
      </c>
      <c r="AL8" s="81">
        <v>6.7</v>
      </c>
      <c r="AM8" s="82">
        <v>6.8</v>
      </c>
      <c r="AN8" s="81">
        <v>7.8</v>
      </c>
      <c r="AO8" s="81">
        <v>7.1</v>
      </c>
      <c r="AP8" s="81">
        <v>5.5</v>
      </c>
      <c r="AQ8" s="81">
        <v>6.8</v>
      </c>
      <c r="AR8" s="81">
        <v>5.8</v>
      </c>
      <c r="AS8" s="81">
        <v>6.7</v>
      </c>
      <c r="AT8" s="81">
        <v>6</v>
      </c>
      <c r="AU8" s="81">
        <v>4.5</v>
      </c>
      <c r="AV8" s="81">
        <v>3.5</v>
      </c>
      <c r="AW8" s="81">
        <v>-158.8</v>
      </c>
      <c r="AX8" s="81">
        <v>1.5</v>
      </c>
      <c r="AZ8" s="45"/>
      <c r="BA8" s="45"/>
      <c r="BB8" s="46"/>
      <c r="BC8" s="46"/>
    </row>
    <row r="9" spans="1:55" ht="12.75" customHeight="1">
      <c r="A9" s="6"/>
      <c r="B9" s="2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Z9" s="45"/>
      <c r="BA9" s="45"/>
      <c r="BB9" s="46"/>
      <c r="BC9" s="46"/>
    </row>
    <row r="10" spans="1:55" ht="12.75" customHeight="1">
      <c r="A10" s="47" t="s">
        <v>179</v>
      </c>
      <c r="B10" s="48"/>
      <c r="C10" s="81">
        <v>47.4</v>
      </c>
      <c r="D10" s="81">
        <v>45.5</v>
      </c>
      <c r="E10" s="81">
        <v>53.2</v>
      </c>
      <c r="F10" s="81">
        <v>46</v>
      </c>
      <c r="G10" s="81">
        <v>48</v>
      </c>
      <c r="H10" s="81">
        <v>48</v>
      </c>
      <c r="I10" s="81">
        <v>73.6</v>
      </c>
      <c r="J10" s="81">
        <v>22.9</v>
      </c>
      <c r="K10" s="81">
        <v>78.6</v>
      </c>
      <c r="L10" s="81">
        <v>39.5</v>
      </c>
      <c r="M10" s="81">
        <v>58.7</v>
      </c>
      <c r="N10" s="81">
        <v>46</v>
      </c>
      <c r="O10" s="81">
        <v>37.6</v>
      </c>
      <c r="P10" s="81">
        <v>48.9</v>
      </c>
      <c r="Q10" s="81">
        <v>45.9</v>
      </c>
      <c r="R10" s="81">
        <v>59.3</v>
      </c>
      <c r="S10" s="81">
        <v>56.5</v>
      </c>
      <c r="T10" s="81">
        <v>47.4</v>
      </c>
      <c r="U10" s="81">
        <v>57.8</v>
      </c>
      <c r="V10" s="81">
        <v>42.4</v>
      </c>
      <c r="W10" s="81">
        <v>42.4</v>
      </c>
      <c r="X10" s="81">
        <v>86.2</v>
      </c>
      <c r="Y10" s="81">
        <v>48.3</v>
      </c>
      <c r="Z10" s="81">
        <v>46.7</v>
      </c>
      <c r="AA10" s="81">
        <v>77.4</v>
      </c>
      <c r="AB10" s="81">
        <v>63.9</v>
      </c>
      <c r="AC10" s="81">
        <v>21.4</v>
      </c>
      <c r="AD10" s="81">
        <v>20.1</v>
      </c>
      <c r="AE10" s="81">
        <v>74.5</v>
      </c>
      <c r="AF10" s="81">
        <v>52.9</v>
      </c>
      <c r="AG10" s="81">
        <v>82.3</v>
      </c>
      <c r="AH10" s="81">
        <v>69.1</v>
      </c>
      <c r="AI10" s="81">
        <v>76.1</v>
      </c>
      <c r="AJ10" s="81">
        <v>83.7</v>
      </c>
      <c r="AK10" s="81">
        <v>62.7</v>
      </c>
      <c r="AL10" s="81">
        <v>44.3</v>
      </c>
      <c r="AM10" s="82">
        <v>45.5</v>
      </c>
      <c r="AN10" s="81">
        <v>83.7</v>
      </c>
      <c r="AO10" s="81">
        <v>80.4</v>
      </c>
      <c r="AP10" s="81">
        <v>69.6</v>
      </c>
      <c r="AQ10" s="81">
        <v>72.4</v>
      </c>
      <c r="AR10" s="81">
        <v>0.1</v>
      </c>
      <c r="AS10" s="81">
        <v>87.6</v>
      </c>
      <c r="AT10" s="81">
        <v>6.1</v>
      </c>
      <c r="AU10" s="81">
        <v>37.9</v>
      </c>
      <c r="AV10" s="81">
        <v>42.2</v>
      </c>
      <c r="AW10" s="82">
        <v>0</v>
      </c>
      <c r="AX10" s="82">
        <v>0</v>
      </c>
      <c r="AZ10" s="93">
        <f aca="true" t="shared" si="3" ref="AZ10:AZ15">+AZ89/$AZ$95*100</f>
        <v>48.82991705768022</v>
      </c>
      <c r="BA10" s="102"/>
      <c r="BB10" s="93">
        <f aca="true" t="shared" si="4" ref="BB10:BB15">+BB89/$BB$95*100</f>
        <v>46.03665404232076</v>
      </c>
      <c r="BC10" s="93">
        <f aca="true" t="shared" si="5" ref="BC10:BC15">+BC89/$BC$95*100</f>
        <v>49.42161887234378</v>
      </c>
    </row>
    <row r="11" spans="1:55" ht="12.75" customHeight="1">
      <c r="A11" s="6" t="s">
        <v>180</v>
      </c>
      <c r="B11" s="28"/>
      <c r="C11" s="81">
        <v>37.1</v>
      </c>
      <c r="D11" s="81">
        <v>37.8</v>
      </c>
      <c r="E11" s="81">
        <v>28.3</v>
      </c>
      <c r="F11" s="81">
        <v>41.3</v>
      </c>
      <c r="G11" s="81">
        <v>1.5</v>
      </c>
      <c r="H11" s="81">
        <v>1.5</v>
      </c>
      <c r="I11" s="81">
        <v>12.6</v>
      </c>
      <c r="J11" s="81">
        <v>44.4</v>
      </c>
      <c r="K11" s="81">
        <v>11.9</v>
      </c>
      <c r="L11" s="81">
        <v>40</v>
      </c>
      <c r="M11" s="81">
        <v>39.2</v>
      </c>
      <c r="N11" s="81">
        <v>48</v>
      </c>
      <c r="O11" s="81">
        <v>58.4</v>
      </c>
      <c r="P11" s="81">
        <v>42.8</v>
      </c>
      <c r="Q11" s="81">
        <v>41.6</v>
      </c>
      <c r="R11" s="81">
        <v>28.9</v>
      </c>
      <c r="S11" s="81">
        <v>28.2</v>
      </c>
      <c r="T11" s="81">
        <v>33.9</v>
      </c>
      <c r="U11" s="81">
        <v>37.5</v>
      </c>
      <c r="V11" s="81">
        <v>29.3</v>
      </c>
      <c r="W11" s="81">
        <v>29.3</v>
      </c>
      <c r="X11" s="81">
        <v>3.8</v>
      </c>
      <c r="Y11" s="81">
        <v>38.8</v>
      </c>
      <c r="Z11" s="81">
        <v>44</v>
      </c>
      <c r="AA11" s="81">
        <v>12.6</v>
      </c>
      <c r="AB11" s="81">
        <v>12.6</v>
      </c>
      <c r="AC11" s="81">
        <v>58</v>
      </c>
      <c r="AD11" s="81">
        <v>64.5</v>
      </c>
      <c r="AE11" s="81">
        <v>24</v>
      </c>
      <c r="AF11" s="81">
        <v>18.6</v>
      </c>
      <c r="AG11" s="81">
        <v>13.6</v>
      </c>
      <c r="AH11" s="81">
        <v>10.2</v>
      </c>
      <c r="AI11" s="81">
        <v>14</v>
      </c>
      <c r="AJ11" s="81">
        <v>7.6</v>
      </c>
      <c r="AK11" s="81">
        <v>24.4</v>
      </c>
      <c r="AL11" s="81">
        <v>25.5</v>
      </c>
      <c r="AM11" s="82">
        <v>40.2</v>
      </c>
      <c r="AN11" s="81">
        <v>8.3</v>
      </c>
      <c r="AO11" s="81">
        <v>6.4</v>
      </c>
      <c r="AP11" s="81">
        <v>18.1</v>
      </c>
      <c r="AQ11" s="81">
        <v>10.8</v>
      </c>
      <c r="AR11" s="81">
        <v>6.9</v>
      </c>
      <c r="AS11" s="81">
        <v>6.2</v>
      </c>
      <c r="AT11" s="81">
        <v>81.7</v>
      </c>
      <c r="AU11" s="81">
        <v>56.7</v>
      </c>
      <c r="AV11" s="81">
        <v>35</v>
      </c>
      <c r="AW11" s="82">
        <v>0</v>
      </c>
      <c r="AX11" s="81">
        <v>47.9</v>
      </c>
      <c r="AZ11" s="93">
        <f t="shared" si="3"/>
        <v>34.315925869187055</v>
      </c>
      <c r="BA11" s="102"/>
      <c r="BB11" s="93">
        <f t="shared" si="4"/>
        <v>37.86513771652994</v>
      </c>
      <c r="BC11" s="93">
        <f t="shared" si="5"/>
        <v>33.56409008460451</v>
      </c>
    </row>
    <row r="12" spans="1:55" ht="12.75" customHeight="1">
      <c r="A12" s="6" t="s">
        <v>181</v>
      </c>
      <c r="B12" s="28"/>
      <c r="C12" s="81">
        <v>0.5</v>
      </c>
      <c r="D12" s="81">
        <v>0.5</v>
      </c>
      <c r="E12" s="81">
        <v>2</v>
      </c>
      <c r="F12" s="81">
        <v>6.1</v>
      </c>
      <c r="G12" s="81">
        <v>37.1</v>
      </c>
      <c r="H12" s="81">
        <v>37.1</v>
      </c>
      <c r="I12" s="81">
        <v>0</v>
      </c>
      <c r="J12" s="82">
        <v>0</v>
      </c>
      <c r="K12" s="81">
        <v>0.4</v>
      </c>
      <c r="L12" s="81">
        <v>5.5</v>
      </c>
      <c r="M12" s="81">
        <v>0.2</v>
      </c>
      <c r="N12" s="81">
        <v>3</v>
      </c>
      <c r="O12" s="81">
        <v>0</v>
      </c>
      <c r="P12" s="81">
        <v>3.2</v>
      </c>
      <c r="Q12" s="81">
        <v>0.1</v>
      </c>
      <c r="R12" s="81">
        <v>0.4</v>
      </c>
      <c r="S12" s="81">
        <v>4</v>
      </c>
      <c r="T12" s="81">
        <v>0.4</v>
      </c>
      <c r="U12" s="81">
        <v>0</v>
      </c>
      <c r="V12" s="81">
        <v>1.3</v>
      </c>
      <c r="W12" s="81">
        <v>1.3</v>
      </c>
      <c r="X12" s="81">
        <v>8.7</v>
      </c>
      <c r="Y12" s="81">
        <v>0.5</v>
      </c>
      <c r="Z12" s="81">
        <v>1.4</v>
      </c>
      <c r="AA12" s="81">
        <v>2.6</v>
      </c>
      <c r="AB12" s="81">
        <v>7.4</v>
      </c>
      <c r="AC12" s="81">
        <v>0.5</v>
      </c>
      <c r="AD12" s="81">
        <v>0</v>
      </c>
      <c r="AE12" s="81">
        <v>0</v>
      </c>
      <c r="AF12" s="81">
        <v>0.7</v>
      </c>
      <c r="AG12" s="81">
        <v>0</v>
      </c>
      <c r="AH12" s="81">
        <v>0</v>
      </c>
      <c r="AI12" s="81">
        <v>7.5</v>
      </c>
      <c r="AJ12" s="81">
        <v>8.7</v>
      </c>
      <c r="AK12" s="81">
        <v>0</v>
      </c>
      <c r="AL12" s="82">
        <v>0</v>
      </c>
      <c r="AM12" s="82">
        <v>0.4</v>
      </c>
      <c r="AN12" s="81">
        <v>6.2</v>
      </c>
      <c r="AO12" s="81">
        <v>6.4</v>
      </c>
      <c r="AP12" s="81">
        <v>2.8</v>
      </c>
      <c r="AQ12" s="81">
        <v>7.9</v>
      </c>
      <c r="AR12" s="81">
        <v>1</v>
      </c>
      <c r="AS12" s="81">
        <v>6.1</v>
      </c>
      <c r="AT12" s="82">
        <v>0</v>
      </c>
      <c r="AU12" s="82">
        <v>0</v>
      </c>
      <c r="AV12" s="81">
        <v>0.5</v>
      </c>
      <c r="AW12" s="81">
        <v>34</v>
      </c>
      <c r="AX12" s="82">
        <v>0</v>
      </c>
      <c r="AZ12" s="93">
        <f t="shared" si="3"/>
        <v>4.611932589525358</v>
      </c>
      <c r="BA12" s="102"/>
      <c r="BB12" s="93">
        <f t="shared" si="4"/>
        <v>0.5090074528100131</v>
      </c>
      <c r="BC12" s="93">
        <f t="shared" si="5"/>
        <v>5.481062433537147</v>
      </c>
    </row>
    <row r="13" spans="1:55" ht="12.75" customHeight="1">
      <c r="A13" s="6" t="s">
        <v>182</v>
      </c>
      <c r="B13" s="28"/>
      <c r="C13" s="81">
        <v>2.4</v>
      </c>
      <c r="D13" s="81">
        <v>3.2</v>
      </c>
      <c r="E13" s="81">
        <v>3.2</v>
      </c>
      <c r="F13" s="81">
        <v>1.9</v>
      </c>
      <c r="G13" s="81">
        <v>3</v>
      </c>
      <c r="H13" s="81">
        <v>3</v>
      </c>
      <c r="I13" s="81">
        <v>1</v>
      </c>
      <c r="J13" s="81">
        <v>6.6</v>
      </c>
      <c r="K13" s="81">
        <v>3.1</v>
      </c>
      <c r="L13" s="81">
        <v>2</v>
      </c>
      <c r="M13" s="81">
        <v>1.6</v>
      </c>
      <c r="N13" s="81">
        <v>1</v>
      </c>
      <c r="O13" s="81">
        <v>0.9</v>
      </c>
      <c r="P13" s="81">
        <v>2.4</v>
      </c>
      <c r="Q13" s="81">
        <v>8.1</v>
      </c>
      <c r="R13" s="81">
        <v>4.3</v>
      </c>
      <c r="S13" s="81">
        <v>3.8</v>
      </c>
      <c r="T13" s="81">
        <v>2.1</v>
      </c>
      <c r="U13" s="81">
        <v>3.3</v>
      </c>
      <c r="V13" s="81">
        <v>6.8</v>
      </c>
      <c r="W13" s="81">
        <v>6.8</v>
      </c>
      <c r="X13" s="81">
        <v>1.2</v>
      </c>
      <c r="Y13" s="81">
        <v>3.8</v>
      </c>
      <c r="Z13" s="81">
        <v>4.4</v>
      </c>
      <c r="AA13" s="81">
        <v>3.5</v>
      </c>
      <c r="AB13" s="81">
        <v>2.2</v>
      </c>
      <c r="AC13" s="81">
        <v>7.6</v>
      </c>
      <c r="AD13" s="81">
        <v>12.9</v>
      </c>
      <c r="AE13" s="81">
        <v>1.5</v>
      </c>
      <c r="AF13" s="81">
        <v>27.8</v>
      </c>
      <c r="AG13" s="81">
        <v>2.8</v>
      </c>
      <c r="AH13" s="81">
        <v>18.1</v>
      </c>
      <c r="AI13" s="81">
        <v>1.9</v>
      </c>
      <c r="AJ13" s="82">
        <v>0</v>
      </c>
      <c r="AK13" s="81">
        <v>0.7</v>
      </c>
      <c r="AL13" s="81">
        <v>27.5</v>
      </c>
      <c r="AM13" s="82">
        <v>2.1</v>
      </c>
      <c r="AN13" s="81">
        <v>1.2</v>
      </c>
      <c r="AO13" s="81">
        <v>4.1</v>
      </c>
      <c r="AP13" s="81">
        <v>4.2</v>
      </c>
      <c r="AQ13" s="81">
        <v>8.9</v>
      </c>
      <c r="AR13" s="81">
        <v>15.5</v>
      </c>
      <c r="AS13" s="81">
        <v>0.1</v>
      </c>
      <c r="AT13" s="81">
        <v>8.7</v>
      </c>
      <c r="AU13" s="81">
        <v>0.3</v>
      </c>
      <c r="AV13" s="81">
        <v>6.6</v>
      </c>
      <c r="AW13" s="81">
        <v>18</v>
      </c>
      <c r="AX13" s="82">
        <v>0</v>
      </c>
      <c r="AZ13" s="93">
        <f t="shared" si="3"/>
        <v>3.0073752563018132</v>
      </c>
      <c r="BA13" s="102"/>
      <c r="BB13" s="93">
        <f t="shared" si="4"/>
        <v>3.611852316252875</v>
      </c>
      <c r="BC13" s="93">
        <f t="shared" si="5"/>
        <v>2.8793278181161486</v>
      </c>
    </row>
    <row r="14" spans="1:55" ht="12.75" customHeight="1">
      <c r="A14" s="6" t="s">
        <v>183</v>
      </c>
      <c r="B14" s="28"/>
      <c r="C14" s="81">
        <v>12.6</v>
      </c>
      <c r="D14" s="81">
        <v>13</v>
      </c>
      <c r="E14" s="81">
        <v>13.3</v>
      </c>
      <c r="F14" s="81">
        <v>4.7</v>
      </c>
      <c r="G14" s="81">
        <v>10.4</v>
      </c>
      <c r="H14" s="81">
        <v>10.4</v>
      </c>
      <c r="I14" s="81">
        <v>12.8</v>
      </c>
      <c r="J14" s="81">
        <v>26.1</v>
      </c>
      <c r="K14" s="81">
        <v>6</v>
      </c>
      <c r="L14" s="81">
        <v>12.8</v>
      </c>
      <c r="M14" s="81">
        <v>0.3</v>
      </c>
      <c r="N14" s="81">
        <v>1</v>
      </c>
      <c r="O14" s="81">
        <v>3.1</v>
      </c>
      <c r="P14" s="81">
        <v>1.8</v>
      </c>
      <c r="Q14" s="81">
        <v>4.3</v>
      </c>
      <c r="R14" s="81">
        <v>7.1</v>
      </c>
      <c r="S14" s="81">
        <v>3.2</v>
      </c>
      <c r="T14" s="81">
        <v>14.3</v>
      </c>
      <c r="U14" s="81">
        <v>1.4</v>
      </c>
      <c r="V14" s="81">
        <v>15.8</v>
      </c>
      <c r="W14" s="81">
        <v>15.8</v>
      </c>
      <c r="X14" s="82">
        <v>0</v>
      </c>
      <c r="Y14" s="81">
        <v>8.6</v>
      </c>
      <c r="Z14" s="82">
        <v>0</v>
      </c>
      <c r="AA14" s="81">
        <v>1.8</v>
      </c>
      <c r="AB14" s="81">
        <v>13.9</v>
      </c>
      <c r="AC14" s="81">
        <v>12.5</v>
      </c>
      <c r="AD14" s="81">
        <v>2.5</v>
      </c>
      <c r="AE14" s="82">
        <v>0</v>
      </c>
      <c r="AF14" s="82">
        <v>0</v>
      </c>
      <c r="AG14" s="81">
        <v>1.3</v>
      </c>
      <c r="AH14" s="81">
        <v>2.6</v>
      </c>
      <c r="AI14" s="81">
        <v>0.5</v>
      </c>
      <c r="AJ14" s="82">
        <v>0</v>
      </c>
      <c r="AK14" s="81">
        <v>12.2</v>
      </c>
      <c r="AL14" s="81">
        <v>2.7</v>
      </c>
      <c r="AM14" s="82">
        <v>11.8</v>
      </c>
      <c r="AN14" s="81">
        <v>0.6</v>
      </c>
      <c r="AO14" s="81">
        <v>2.7</v>
      </c>
      <c r="AP14" s="81">
        <v>5.3</v>
      </c>
      <c r="AQ14" s="82">
        <v>0</v>
      </c>
      <c r="AR14" s="81">
        <v>3.4</v>
      </c>
      <c r="AS14" s="82">
        <v>0</v>
      </c>
      <c r="AT14" s="81">
        <v>3.5</v>
      </c>
      <c r="AU14" s="81">
        <v>3.9</v>
      </c>
      <c r="AV14" s="81">
        <v>11.2</v>
      </c>
      <c r="AW14" s="81">
        <v>48</v>
      </c>
      <c r="AX14" s="81">
        <v>52.1</v>
      </c>
      <c r="AZ14" s="93">
        <f t="shared" si="3"/>
        <v>8.834780431491335</v>
      </c>
      <c r="BA14" s="102"/>
      <c r="BB14" s="93">
        <f t="shared" si="4"/>
        <v>11.966761350680127</v>
      </c>
      <c r="BC14" s="93">
        <f t="shared" si="5"/>
        <v>8.171327407846437</v>
      </c>
    </row>
    <row r="15" spans="1:55" ht="12.75" customHeight="1">
      <c r="A15" s="6" t="s">
        <v>184</v>
      </c>
      <c r="B15" s="28"/>
      <c r="C15" s="82">
        <v>0</v>
      </c>
      <c r="D15" s="82">
        <v>0</v>
      </c>
      <c r="E15" s="81">
        <v>0</v>
      </c>
      <c r="F15" s="82">
        <v>0</v>
      </c>
      <c r="G15" s="81">
        <v>0</v>
      </c>
      <c r="H15" s="81">
        <v>0</v>
      </c>
      <c r="I15" s="82">
        <v>0</v>
      </c>
      <c r="J15" s="82">
        <v>0</v>
      </c>
      <c r="K15" s="82">
        <v>0</v>
      </c>
      <c r="L15" s="81">
        <v>0.2</v>
      </c>
      <c r="M15" s="82">
        <v>0</v>
      </c>
      <c r="N15" s="81">
        <v>1</v>
      </c>
      <c r="O15" s="82">
        <v>0</v>
      </c>
      <c r="P15" s="81">
        <v>0.9</v>
      </c>
      <c r="Q15" s="82">
        <v>0</v>
      </c>
      <c r="R15" s="82">
        <v>0</v>
      </c>
      <c r="S15" s="81">
        <v>4.3</v>
      </c>
      <c r="T15" s="81">
        <v>1.9</v>
      </c>
      <c r="U15" s="82">
        <v>0</v>
      </c>
      <c r="V15" s="81">
        <v>4.4</v>
      </c>
      <c r="W15" s="81">
        <v>4.4</v>
      </c>
      <c r="X15" s="81">
        <v>0.1</v>
      </c>
      <c r="Y15" s="82">
        <v>0</v>
      </c>
      <c r="Z15" s="81">
        <v>3.5</v>
      </c>
      <c r="AA15" s="81">
        <v>2.1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1">
        <v>73.1</v>
      </c>
      <c r="AS15" s="82">
        <v>0</v>
      </c>
      <c r="AT15" s="82">
        <v>0</v>
      </c>
      <c r="AU15" s="81">
        <v>1.2</v>
      </c>
      <c r="AV15" s="81">
        <v>4.5</v>
      </c>
      <c r="AW15" s="82">
        <v>0</v>
      </c>
      <c r="AX15" s="82">
        <v>0</v>
      </c>
      <c r="AZ15" s="93">
        <f t="shared" si="3"/>
        <v>0.40006879581420435</v>
      </c>
      <c r="BA15" s="102"/>
      <c r="BB15" s="93">
        <f t="shared" si="4"/>
        <v>0.010587121406287375</v>
      </c>
      <c r="BC15" s="93">
        <f t="shared" si="5"/>
        <v>0.48257338355196705</v>
      </c>
    </row>
    <row r="16" spans="1:55" s="49" customFormat="1" ht="12.75" customHeight="1">
      <c r="A16" s="14" t="s">
        <v>185</v>
      </c>
      <c r="B16" s="28">
        <v>3</v>
      </c>
      <c r="C16" s="82">
        <f aca="true" t="shared" si="6" ref="C16:AX16">SUM(C10:C15)</f>
        <v>100</v>
      </c>
      <c r="D16" s="82">
        <f t="shared" si="6"/>
        <v>100</v>
      </c>
      <c r="E16" s="82">
        <f t="shared" si="6"/>
        <v>100</v>
      </c>
      <c r="F16" s="82">
        <f t="shared" si="6"/>
        <v>100</v>
      </c>
      <c r="G16" s="82">
        <f t="shared" si="6"/>
        <v>100</v>
      </c>
      <c r="H16" s="82">
        <f t="shared" si="6"/>
        <v>100</v>
      </c>
      <c r="I16" s="82">
        <f t="shared" si="6"/>
        <v>99.99999999999999</v>
      </c>
      <c r="J16" s="82">
        <f t="shared" si="6"/>
        <v>100</v>
      </c>
      <c r="K16" s="82">
        <f t="shared" si="6"/>
        <v>100</v>
      </c>
      <c r="L16" s="82">
        <f t="shared" si="6"/>
        <v>100</v>
      </c>
      <c r="M16" s="82">
        <f t="shared" si="6"/>
        <v>100</v>
      </c>
      <c r="N16" s="82">
        <f t="shared" si="6"/>
        <v>100</v>
      </c>
      <c r="O16" s="82">
        <f t="shared" si="6"/>
        <v>100</v>
      </c>
      <c r="P16" s="82">
        <f t="shared" si="6"/>
        <v>100</v>
      </c>
      <c r="Q16" s="82">
        <f t="shared" si="6"/>
        <v>99.99999999999999</v>
      </c>
      <c r="R16" s="82">
        <f t="shared" si="6"/>
        <v>99.99999999999999</v>
      </c>
      <c r="S16" s="82">
        <f t="shared" si="6"/>
        <v>100</v>
      </c>
      <c r="T16" s="82">
        <f t="shared" si="6"/>
        <v>100</v>
      </c>
      <c r="U16" s="82">
        <f t="shared" si="6"/>
        <v>100</v>
      </c>
      <c r="V16" s="82">
        <f t="shared" si="6"/>
        <v>100</v>
      </c>
      <c r="W16" s="82">
        <f t="shared" si="6"/>
        <v>100</v>
      </c>
      <c r="X16" s="82">
        <f t="shared" si="6"/>
        <v>100</v>
      </c>
      <c r="Y16" s="82">
        <f t="shared" si="6"/>
        <v>99.99999999999999</v>
      </c>
      <c r="Z16" s="82">
        <f t="shared" si="6"/>
        <v>100.00000000000001</v>
      </c>
      <c r="AA16" s="82">
        <f t="shared" si="6"/>
        <v>99.99999999999999</v>
      </c>
      <c r="AB16" s="82">
        <f t="shared" si="6"/>
        <v>100.00000000000001</v>
      </c>
      <c r="AC16" s="82">
        <f t="shared" si="6"/>
        <v>100</v>
      </c>
      <c r="AD16" s="82">
        <f t="shared" si="6"/>
        <v>100</v>
      </c>
      <c r="AE16" s="82">
        <f t="shared" si="6"/>
        <v>100</v>
      </c>
      <c r="AF16" s="82">
        <f t="shared" si="6"/>
        <v>100</v>
      </c>
      <c r="AG16" s="82">
        <f t="shared" si="6"/>
        <v>99.99999999999999</v>
      </c>
      <c r="AH16" s="82">
        <f t="shared" si="6"/>
        <v>100</v>
      </c>
      <c r="AI16" s="82">
        <f t="shared" si="6"/>
        <v>100</v>
      </c>
      <c r="AJ16" s="82">
        <f t="shared" si="6"/>
        <v>100</v>
      </c>
      <c r="AK16" s="82">
        <f t="shared" si="6"/>
        <v>100</v>
      </c>
      <c r="AL16" s="82">
        <f t="shared" si="6"/>
        <v>100</v>
      </c>
      <c r="AM16" s="82">
        <f t="shared" si="6"/>
        <v>100</v>
      </c>
      <c r="AN16" s="82">
        <f t="shared" si="6"/>
        <v>100</v>
      </c>
      <c r="AO16" s="82">
        <f t="shared" si="6"/>
        <v>100.00000000000001</v>
      </c>
      <c r="AP16" s="82">
        <f t="shared" si="6"/>
        <v>99.99999999999999</v>
      </c>
      <c r="AQ16" s="82">
        <f t="shared" si="6"/>
        <v>100.00000000000001</v>
      </c>
      <c r="AR16" s="82">
        <f t="shared" si="6"/>
        <v>100</v>
      </c>
      <c r="AS16" s="82">
        <f t="shared" si="6"/>
        <v>99.99999999999999</v>
      </c>
      <c r="AT16" s="82">
        <f t="shared" si="6"/>
        <v>100</v>
      </c>
      <c r="AU16" s="82">
        <f t="shared" si="6"/>
        <v>100</v>
      </c>
      <c r="AV16" s="82">
        <f t="shared" si="6"/>
        <v>100</v>
      </c>
      <c r="AW16" s="82">
        <f t="shared" si="6"/>
        <v>100</v>
      </c>
      <c r="AX16" s="82">
        <f t="shared" si="6"/>
        <v>100</v>
      </c>
      <c r="AZ16" s="93">
        <f>SUM(AZ10:AZ15)</f>
        <v>99.99999999999999</v>
      </c>
      <c r="BA16" s="93"/>
      <c r="BB16" s="93">
        <f>SUM(BB10:BB15)</f>
        <v>100</v>
      </c>
      <c r="BC16" s="93">
        <f>SUM(BC10:BC15)</f>
        <v>99.99999999999999</v>
      </c>
    </row>
    <row r="17" spans="1:55" s="49" customFormat="1" ht="12.75" customHeight="1">
      <c r="A17" s="14"/>
      <c r="B17" s="28"/>
      <c r="C17" s="82"/>
      <c r="D17" s="82"/>
      <c r="E17" s="81"/>
      <c r="F17" s="82"/>
      <c r="G17" s="81"/>
      <c r="H17" s="81"/>
      <c r="I17" s="82"/>
      <c r="J17" s="82"/>
      <c r="K17" s="82"/>
      <c r="L17" s="81"/>
      <c r="M17" s="82"/>
      <c r="N17" s="81"/>
      <c r="O17" s="82"/>
      <c r="P17" s="81"/>
      <c r="Q17" s="82"/>
      <c r="R17" s="82"/>
      <c r="S17" s="81"/>
      <c r="T17" s="81"/>
      <c r="U17" s="82"/>
      <c r="V17" s="81"/>
      <c r="W17" s="81"/>
      <c r="X17" s="81"/>
      <c r="Y17" s="82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1"/>
      <c r="AS17" s="82"/>
      <c r="AT17" s="82"/>
      <c r="AU17" s="81"/>
      <c r="AV17" s="81"/>
      <c r="AW17" s="82"/>
      <c r="AX17" s="82"/>
      <c r="AZ17" s="50"/>
      <c r="BA17" s="51"/>
      <c r="BB17" s="50"/>
      <c r="BC17" s="50"/>
    </row>
    <row r="18" spans="1:55" ht="12.75" customHeight="1">
      <c r="A18" s="47" t="s">
        <v>186</v>
      </c>
      <c r="B18" s="28"/>
      <c r="C18" s="81">
        <v>64.8</v>
      </c>
      <c r="D18" s="81">
        <v>67.7</v>
      </c>
      <c r="E18" s="81">
        <v>65.2</v>
      </c>
      <c r="F18" s="81">
        <v>89.6</v>
      </c>
      <c r="G18" s="81">
        <v>67.4</v>
      </c>
      <c r="H18" s="81">
        <v>67.4</v>
      </c>
      <c r="I18" s="81">
        <v>67.4</v>
      </c>
      <c r="J18" s="81">
        <v>94.4</v>
      </c>
      <c r="K18" s="81">
        <v>74.3</v>
      </c>
      <c r="L18" s="81">
        <v>81</v>
      </c>
      <c r="M18" s="81">
        <v>62.8</v>
      </c>
      <c r="N18" s="81">
        <v>64</v>
      </c>
      <c r="O18" s="81">
        <v>73.8</v>
      </c>
      <c r="P18" s="81">
        <v>69.7</v>
      </c>
      <c r="Q18" s="81">
        <v>85.6</v>
      </c>
      <c r="R18" s="81">
        <v>75.7</v>
      </c>
      <c r="S18" s="81">
        <v>71</v>
      </c>
      <c r="T18" s="81">
        <v>71.2</v>
      </c>
      <c r="U18" s="81">
        <v>71.2</v>
      </c>
      <c r="V18" s="81">
        <v>74.6</v>
      </c>
      <c r="W18" s="81">
        <v>74.6</v>
      </c>
      <c r="X18" s="81">
        <v>83.1</v>
      </c>
      <c r="Y18" s="81">
        <v>64.1</v>
      </c>
      <c r="Z18" s="81">
        <v>65.8</v>
      </c>
      <c r="AA18" s="81">
        <v>75.4</v>
      </c>
      <c r="AB18" s="81">
        <v>76.9</v>
      </c>
      <c r="AC18" s="81">
        <v>96.3</v>
      </c>
      <c r="AD18" s="81">
        <v>96</v>
      </c>
      <c r="AE18" s="81">
        <v>97.2</v>
      </c>
      <c r="AF18" s="81">
        <v>82</v>
      </c>
      <c r="AG18" s="81">
        <v>88.8</v>
      </c>
      <c r="AH18" s="81">
        <v>100</v>
      </c>
      <c r="AI18" s="81">
        <v>93.1</v>
      </c>
      <c r="AJ18" s="81">
        <v>79.9</v>
      </c>
      <c r="AK18" s="81">
        <v>75</v>
      </c>
      <c r="AL18" s="81">
        <v>82</v>
      </c>
      <c r="AM18" s="82">
        <v>76.1</v>
      </c>
      <c r="AN18" s="81">
        <v>86.9</v>
      </c>
      <c r="AO18" s="81">
        <v>84.2</v>
      </c>
      <c r="AP18" s="81">
        <v>72.6</v>
      </c>
      <c r="AQ18" s="81">
        <v>98.3</v>
      </c>
      <c r="AR18" s="81">
        <v>99.2</v>
      </c>
      <c r="AS18" s="81">
        <v>93</v>
      </c>
      <c r="AT18" s="81">
        <v>94.7</v>
      </c>
      <c r="AU18" s="81">
        <v>97.1</v>
      </c>
      <c r="AV18" s="81">
        <v>92.8</v>
      </c>
      <c r="AW18" s="81">
        <v>100</v>
      </c>
      <c r="AX18" s="81">
        <v>100</v>
      </c>
      <c r="AZ18" s="93">
        <f>+AZ98/$AZ$100*100</f>
        <v>73.26894874779677</v>
      </c>
      <c r="BA18" s="102"/>
      <c r="BB18" s="93">
        <f>+BB98/$BB$100*100</f>
        <v>69.87047013319153</v>
      </c>
      <c r="BC18" s="93">
        <f>+BC98/$BC$100*100</f>
        <v>73.98885444672305</v>
      </c>
    </row>
    <row r="19" spans="1:55" ht="12.75" customHeight="1">
      <c r="A19" s="6" t="s">
        <v>187</v>
      </c>
      <c r="B19" s="48"/>
      <c r="C19" s="81">
        <v>35.2</v>
      </c>
      <c r="D19" s="81">
        <v>32.3</v>
      </c>
      <c r="E19" s="81">
        <v>34.8</v>
      </c>
      <c r="F19" s="81">
        <v>10.4</v>
      </c>
      <c r="G19" s="81">
        <v>32.6</v>
      </c>
      <c r="H19" s="81">
        <v>32.6</v>
      </c>
      <c r="I19" s="81">
        <v>32.6</v>
      </c>
      <c r="J19" s="81">
        <v>5.6</v>
      </c>
      <c r="K19" s="81">
        <v>25.7</v>
      </c>
      <c r="L19" s="81">
        <v>19</v>
      </c>
      <c r="M19" s="81">
        <v>37.2</v>
      </c>
      <c r="N19" s="81">
        <v>36</v>
      </c>
      <c r="O19" s="81">
        <v>26.2</v>
      </c>
      <c r="P19" s="81">
        <v>30.3</v>
      </c>
      <c r="Q19" s="81">
        <v>14.4</v>
      </c>
      <c r="R19" s="81">
        <v>24.3</v>
      </c>
      <c r="S19" s="81">
        <v>29</v>
      </c>
      <c r="T19" s="81">
        <v>28.8</v>
      </c>
      <c r="U19" s="81">
        <v>28.8</v>
      </c>
      <c r="V19" s="81">
        <v>25.4</v>
      </c>
      <c r="W19" s="81">
        <v>25.4</v>
      </c>
      <c r="X19" s="81">
        <v>16.9</v>
      </c>
      <c r="Y19" s="81">
        <v>35.9</v>
      </c>
      <c r="Z19" s="81">
        <v>34.2</v>
      </c>
      <c r="AA19" s="81">
        <v>24.6</v>
      </c>
      <c r="AB19" s="81">
        <v>23.1</v>
      </c>
      <c r="AC19" s="81">
        <v>3.7</v>
      </c>
      <c r="AD19" s="81">
        <v>4</v>
      </c>
      <c r="AE19" s="81">
        <v>2.8</v>
      </c>
      <c r="AF19" s="81">
        <v>18</v>
      </c>
      <c r="AG19" s="81">
        <v>11.2</v>
      </c>
      <c r="AH19" s="82">
        <v>0</v>
      </c>
      <c r="AI19" s="81">
        <v>6.9</v>
      </c>
      <c r="AJ19" s="81">
        <v>20.1</v>
      </c>
      <c r="AK19" s="81">
        <v>25</v>
      </c>
      <c r="AL19" s="81">
        <v>18</v>
      </c>
      <c r="AM19" s="82">
        <v>23.9</v>
      </c>
      <c r="AN19" s="81">
        <v>13.1</v>
      </c>
      <c r="AO19" s="81">
        <v>15.8</v>
      </c>
      <c r="AP19" s="81">
        <v>27.4</v>
      </c>
      <c r="AQ19" s="81">
        <v>1.7</v>
      </c>
      <c r="AR19" s="81">
        <v>0.8</v>
      </c>
      <c r="AS19" s="81">
        <v>7</v>
      </c>
      <c r="AT19" s="81">
        <v>5.3</v>
      </c>
      <c r="AU19" s="81">
        <v>2.9</v>
      </c>
      <c r="AV19" s="81">
        <v>7.2</v>
      </c>
      <c r="AW19" s="82">
        <v>0</v>
      </c>
      <c r="AX19" s="81">
        <v>0</v>
      </c>
      <c r="AZ19" s="93">
        <f>+AZ99/$AZ$100*100</f>
        <v>26.73105125220323</v>
      </c>
      <c r="BA19" s="102"/>
      <c r="BB19" s="93">
        <f>+BB99/$BB$100*100</f>
        <v>30.129529866808465</v>
      </c>
      <c r="BC19" s="93">
        <f>+BC99/$BC$100*100</f>
        <v>26.011145553276954</v>
      </c>
    </row>
    <row r="20" spans="1:55" s="49" customFormat="1" ht="12.75" customHeight="1">
      <c r="A20" s="14" t="s">
        <v>188</v>
      </c>
      <c r="B20" s="28">
        <v>4</v>
      </c>
      <c r="C20" s="81">
        <f aca="true" t="shared" si="7" ref="C20:AX20">SUM(C18:C19)</f>
        <v>100</v>
      </c>
      <c r="D20" s="81">
        <f t="shared" si="7"/>
        <v>100</v>
      </c>
      <c r="E20" s="81">
        <f t="shared" si="7"/>
        <v>100</v>
      </c>
      <c r="F20" s="81">
        <f t="shared" si="7"/>
        <v>100</v>
      </c>
      <c r="G20" s="81">
        <f t="shared" si="7"/>
        <v>100</v>
      </c>
      <c r="H20" s="81">
        <f t="shared" si="7"/>
        <v>100</v>
      </c>
      <c r="I20" s="81">
        <f t="shared" si="7"/>
        <v>100</v>
      </c>
      <c r="J20" s="81">
        <f t="shared" si="7"/>
        <v>100</v>
      </c>
      <c r="K20" s="81">
        <f t="shared" si="7"/>
        <v>100</v>
      </c>
      <c r="L20" s="81">
        <f t="shared" si="7"/>
        <v>100</v>
      </c>
      <c r="M20" s="81">
        <f t="shared" si="7"/>
        <v>100</v>
      </c>
      <c r="N20" s="81">
        <f t="shared" si="7"/>
        <v>100</v>
      </c>
      <c r="O20" s="81">
        <f t="shared" si="7"/>
        <v>100</v>
      </c>
      <c r="P20" s="81">
        <f t="shared" si="7"/>
        <v>100</v>
      </c>
      <c r="Q20" s="81">
        <f t="shared" si="7"/>
        <v>100</v>
      </c>
      <c r="R20" s="81">
        <f t="shared" si="7"/>
        <v>100</v>
      </c>
      <c r="S20" s="81">
        <f t="shared" si="7"/>
        <v>100</v>
      </c>
      <c r="T20" s="81">
        <f t="shared" si="7"/>
        <v>100</v>
      </c>
      <c r="U20" s="81">
        <f t="shared" si="7"/>
        <v>100</v>
      </c>
      <c r="V20" s="81">
        <f t="shared" si="7"/>
        <v>100</v>
      </c>
      <c r="W20" s="81">
        <f t="shared" si="7"/>
        <v>100</v>
      </c>
      <c r="X20" s="81">
        <f t="shared" si="7"/>
        <v>100</v>
      </c>
      <c r="Y20" s="81">
        <f t="shared" si="7"/>
        <v>100</v>
      </c>
      <c r="Z20" s="81">
        <f t="shared" si="7"/>
        <v>100</v>
      </c>
      <c r="AA20" s="81">
        <f t="shared" si="7"/>
        <v>100</v>
      </c>
      <c r="AB20" s="81">
        <f t="shared" si="7"/>
        <v>100</v>
      </c>
      <c r="AC20" s="81">
        <f t="shared" si="7"/>
        <v>100</v>
      </c>
      <c r="AD20" s="81">
        <f t="shared" si="7"/>
        <v>100</v>
      </c>
      <c r="AE20" s="81">
        <f t="shared" si="7"/>
        <v>100</v>
      </c>
      <c r="AF20" s="81">
        <f t="shared" si="7"/>
        <v>100</v>
      </c>
      <c r="AG20" s="81">
        <f t="shared" si="7"/>
        <v>100</v>
      </c>
      <c r="AH20" s="81">
        <f t="shared" si="7"/>
        <v>100</v>
      </c>
      <c r="AI20" s="81">
        <f t="shared" si="7"/>
        <v>100</v>
      </c>
      <c r="AJ20" s="81">
        <f t="shared" si="7"/>
        <v>100</v>
      </c>
      <c r="AK20" s="81">
        <f t="shared" si="7"/>
        <v>100</v>
      </c>
      <c r="AL20" s="81">
        <f t="shared" si="7"/>
        <v>100</v>
      </c>
      <c r="AM20" s="81">
        <f t="shared" si="7"/>
        <v>100</v>
      </c>
      <c r="AN20" s="81">
        <f t="shared" si="7"/>
        <v>100</v>
      </c>
      <c r="AO20" s="81">
        <f t="shared" si="7"/>
        <v>100</v>
      </c>
      <c r="AP20" s="81">
        <f t="shared" si="7"/>
        <v>100</v>
      </c>
      <c r="AQ20" s="81">
        <f t="shared" si="7"/>
        <v>100</v>
      </c>
      <c r="AR20" s="81">
        <f t="shared" si="7"/>
        <v>100</v>
      </c>
      <c r="AS20" s="81">
        <f t="shared" si="7"/>
        <v>100</v>
      </c>
      <c r="AT20" s="81">
        <f t="shared" si="7"/>
        <v>100</v>
      </c>
      <c r="AU20" s="81">
        <f t="shared" si="7"/>
        <v>100</v>
      </c>
      <c r="AV20" s="81">
        <f t="shared" si="7"/>
        <v>100</v>
      </c>
      <c r="AW20" s="81">
        <f t="shared" si="7"/>
        <v>100</v>
      </c>
      <c r="AX20" s="81">
        <f t="shared" si="7"/>
        <v>100</v>
      </c>
      <c r="AZ20" s="93">
        <f>SUM(AZ18:AZ19)</f>
        <v>100</v>
      </c>
      <c r="BA20" s="102"/>
      <c r="BB20" s="93">
        <f>SUM(BB18:BB19)</f>
        <v>100</v>
      </c>
      <c r="BC20" s="93">
        <f>SUM(BC18:BC19)</f>
        <v>100</v>
      </c>
    </row>
    <row r="21" spans="1:55" s="49" customFormat="1" ht="12.75" customHeight="1">
      <c r="A21" s="14"/>
      <c r="B21" s="4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2"/>
      <c r="AI21" s="81"/>
      <c r="AJ21" s="81"/>
      <c r="AK21" s="81"/>
      <c r="AL21" s="81"/>
      <c r="AM21" s="82"/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X21" s="81"/>
      <c r="AZ21" s="50"/>
      <c r="BA21" s="51"/>
      <c r="BB21" s="50"/>
      <c r="BC21" s="50"/>
    </row>
    <row r="22" spans="1:58" s="26" customFormat="1" ht="12.75" customHeight="1">
      <c r="A22" s="6" t="s">
        <v>189</v>
      </c>
      <c r="B22" s="28">
        <v>5</v>
      </c>
      <c r="C22" s="81">
        <v>19704</v>
      </c>
      <c r="D22" s="81">
        <v>7144</v>
      </c>
      <c r="E22" s="81">
        <v>31682</v>
      </c>
      <c r="F22" s="81">
        <v>23195</v>
      </c>
      <c r="G22" s="81">
        <v>4455</v>
      </c>
      <c r="H22" s="81">
        <v>7332</v>
      </c>
      <c r="I22" s="82">
        <v>0</v>
      </c>
      <c r="J22" s="82">
        <v>0</v>
      </c>
      <c r="K22" s="81">
        <v>11446</v>
      </c>
      <c r="L22" s="81">
        <v>10113</v>
      </c>
      <c r="M22" s="81">
        <v>10363</v>
      </c>
      <c r="N22" s="81">
        <v>12609</v>
      </c>
      <c r="O22" s="81">
        <v>7356</v>
      </c>
      <c r="P22" s="81">
        <v>10092</v>
      </c>
      <c r="Q22" s="81">
        <v>565</v>
      </c>
      <c r="R22" s="81">
        <v>1791</v>
      </c>
      <c r="S22" s="81">
        <v>8514</v>
      </c>
      <c r="T22" s="81">
        <v>2269</v>
      </c>
      <c r="U22" s="81">
        <v>3092</v>
      </c>
      <c r="V22" s="81">
        <v>8118</v>
      </c>
      <c r="W22" s="81">
        <v>2233</v>
      </c>
      <c r="X22" s="81">
        <v>4424</v>
      </c>
      <c r="Y22" s="81">
        <v>740</v>
      </c>
      <c r="Z22" s="81">
        <v>1488</v>
      </c>
      <c r="AA22" s="81">
        <v>3186</v>
      </c>
      <c r="AB22" s="81">
        <v>559</v>
      </c>
      <c r="AC22" s="81">
        <v>1212</v>
      </c>
      <c r="AD22" s="81">
        <v>179</v>
      </c>
      <c r="AE22" s="81">
        <v>882</v>
      </c>
      <c r="AF22" s="81">
        <v>741</v>
      </c>
      <c r="AG22" s="82">
        <v>0</v>
      </c>
      <c r="AH22" s="82">
        <v>0</v>
      </c>
      <c r="AI22" s="81">
        <v>0</v>
      </c>
      <c r="AJ22" s="81">
        <v>255</v>
      </c>
      <c r="AK22" s="81">
        <v>164</v>
      </c>
      <c r="AL22" s="81">
        <v>20</v>
      </c>
      <c r="AM22" s="82">
        <v>0</v>
      </c>
      <c r="AN22" s="82">
        <v>0</v>
      </c>
      <c r="AO22" s="81">
        <v>81</v>
      </c>
      <c r="AP22" s="81">
        <v>117</v>
      </c>
      <c r="AQ22" s="82">
        <v>0</v>
      </c>
      <c r="AR22" s="81">
        <v>4019</v>
      </c>
      <c r="AS22" s="82">
        <v>0</v>
      </c>
      <c r="AT22" s="81">
        <v>0</v>
      </c>
      <c r="AU22" s="81">
        <v>28</v>
      </c>
      <c r="AV22" s="81">
        <v>16</v>
      </c>
      <c r="AW22" s="81">
        <v>709</v>
      </c>
      <c r="AX22" s="81">
        <v>0</v>
      </c>
      <c r="AZ22" s="12">
        <f>SUM(C22:AX22)</f>
        <v>200893</v>
      </c>
      <c r="BA22" s="12"/>
      <c r="BB22" s="357">
        <f>SUMIF($C$60:$AX$60,"já",C22:AX22)</f>
        <v>11113</v>
      </c>
      <c r="BC22" s="357">
        <f>SUMIF($C$60:$AX$60,"nei",C22:AX22)</f>
        <v>189780</v>
      </c>
      <c r="BD22" s="11"/>
      <c r="BE22" s="11"/>
      <c r="BF22" s="11"/>
    </row>
    <row r="23" spans="1:58" ht="12.75" customHeight="1">
      <c r="A23" s="6" t="s">
        <v>190</v>
      </c>
      <c r="B23" s="28">
        <v>6</v>
      </c>
      <c r="C23" s="81">
        <v>699</v>
      </c>
      <c r="D23" s="81">
        <v>9651</v>
      </c>
      <c r="E23" s="81">
        <v>7573</v>
      </c>
      <c r="F23" s="81">
        <v>12795</v>
      </c>
      <c r="G23" s="81">
        <v>122</v>
      </c>
      <c r="H23" s="81">
        <v>4263</v>
      </c>
      <c r="I23" s="82">
        <v>0</v>
      </c>
      <c r="J23" s="82">
        <v>0</v>
      </c>
      <c r="K23" s="81">
        <v>373</v>
      </c>
      <c r="L23" s="81">
        <v>3812</v>
      </c>
      <c r="M23" s="81">
        <v>671</v>
      </c>
      <c r="N23" s="81">
        <v>4287</v>
      </c>
      <c r="O23" s="81">
        <v>4011</v>
      </c>
      <c r="P23" s="81">
        <v>4079</v>
      </c>
      <c r="Q23" s="81">
        <v>598</v>
      </c>
      <c r="R23" s="81">
        <v>43</v>
      </c>
      <c r="S23" s="81">
        <v>1639</v>
      </c>
      <c r="T23" s="81">
        <v>181</v>
      </c>
      <c r="U23" s="81">
        <v>1410</v>
      </c>
      <c r="V23" s="81">
        <v>646</v>
      </c>
      <c r="W23" s="81">
        <v>73</v>
      </c>
      <c r="X23" s="81">
        <v>25</v>
      </c>
      <c r="Y23" s="81">
        <v>555</v>
      </c>
      <c r="Z23" s="81">
        <v>892</v>
      </c>
      <c r="AA23" s="81">
        <v>3619</v>
      </c>
      <c r="AB23" s="81">
        <v>103</v>
      </c>
      <c r="AC23" s="81">
        <v>2454</v>
      </c>
      <c r="AD23" s="81">
        <v>188</v>
      </c>
      <c r="AE23" s="81">
        <v>180</v>
      </c>
      <c r="AF23" s="81">
        <v>327</v>
      </c>
      <c r="AG23" s="81">
        <v>230</v>
      </c>
      <c r="AH23" s="81">
        <v>12</v>
      </c>
      <c r="AI23" s="81">
        <v>125</v>
      </c>
      <c r="AJ23" s="81">
        <v>6</v>
      </c>
      <c r="AK23" s="81">
        <v>214</v>
      </c>
      <c r="AL23" s="81">
        <v>302</v>
      </c>
      <c r="AM23" s="82">
        <v>0</v>
      </c>
      <c r="AN23" s="81">
        <v>221</v>
      </c>
      <c r="AO23" s="81">
        <v>204</v>
      </c>
      <c r="AP23" s="81">
        <v>120</v>
      </c>
      <c r="AQ23" s="81">
        <v>91</v>
      </c>
      <c r="AR23" s="81">
        <v>194</v>
      </c>
      <c r="AS23" s="81">
        <v>101</v>
      </c>
      <c r="AT23" s="81">
        <v>118</v>
      </c>
      <c r="AU23" s="81">
        <v>77</v>
      </c>
      <c r="AV23" s="81">
        <v>48</v>
      </c>
      <c r="AW23" s="81">
        <v>166</v>
      </c>
      <c r="AX23" s="81">
        <v>151</v>
      </c>
      <c r="AZ23" s="12">
        <f>SUM(C23:AX23)</f>
        <v>67649</v>
      </c>
      <c r="BA23" s="12"/>
      <c r="BB23" s="357">
        <f>SUMIF($C$60:$AX$60,"já",C23:AX23)</f>
        <v>14134</v>
      </c>
      <c r="BC23" s="357">
        <f>SUMIF($C$60:$AX$60,"nei",C23:AX23)</f>
        <v>53515</v>
      </c>
      <c r="BD23" s="52"/>
      <c r="BE23" s="52"/>
      <c r="BF23" s="52"/>
    </row>
    <row r="24" spans="1:55" ht="12.75" customHeight="1">
      <c r="A24" s="6"/>
      <c r="B24" s="28"/>
      <c r="C24" s="81"/>
      <c r="D24" s="81"/>
      <c r="E24" s="81"/>
      <c r="F24" s="81"/>
      <c r="G24" s="81"/>
      <c r="H24" s="81"/>
      <c r="I24" s="82"/>
      <c r="J24" s="82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Z24" s="43"/>
      <c r="BA24" s="12"/>
      <c r="BB24" s="43"/>
      <c r="BC24" s="43"/>
    </row>
    <row r="25" spans="1:55" ht="12.75" customHeight="1">
      <c r="A25" s="6" t="s">
        <v>191</v>
      </c>
      <c r="B25" s="28"/>
      <c r="C25" s="81">
        <v>16.8</v>
      </c>
      <c r="D25" s="81">
        <v>74.2</v>
      </c>
      <c r="E25" s="81">
        <v>60.5</v>
      </c>
      <c r="F25" s="81">
        <v>56.7</v>
      </c>
      <c r="G25" s="81">
        <v>17.2</v>
      </c>
      <c r="H25" s="81">
        <v>65.6</v>
      </c>
      <c r="I25" s="82">
        <v>0</v>
      </c>
      <c r="J25" s="81">
        <v>86.5</v>
      </c>
      <c r="K25" s="81">
        <v>0</v>
      </c>
      <c r="L25" s="81">
        <v>67.3</v>
      </c>
      <c r="M25" s="81">
        <v>74.2</v>
      </c>
      <c r="N25" s="81">
        <v>56.7</v>
      </c>
      <c r="O25" s="81">
        <v>59.9</v>
      </c>
      <c r="P25" s="81">
        <v>55.6</v>
      </c>
      <c r="Q25" s="81">
        <v>81.9</v>
      </c>
      <c r="R25" s="81">
        <v>42.3</v>
      </c>
      <c r="S25" s="81">
        <v>49.4</v>
      </c>
      <c r="T25" s="81">
        <v>75.1</v>
      </c>
      <c r="U25" s="81">
        <v>50.3</v>
      </c>
      <c r="V25" s="81">
        <v>49.1</v>
      </c>
      <c r="W25" s="81">
        <v>24.4</v>
      </c>
      <c r="X25" s="81">
        <v>4.3</v>
      </c>
      <c r="Y25" s="81">
        <v>85.1</v>
      </c>
      <c r="Z25" s="81">
        <v>46.6</v>
      </c>
      <c r="AA25" s="81">
        <v>76.7</v>
      </c>
      <c r="AB25" s="81">
        <v>84.2</v>
      </c>
      <c r="AC25" s="81">
        <v>69.2</v>
      </c>
      <c r="AD25" s="81">
        <v>73.9</v>
      </c>
      <c r="AE25" s="81">
        <v>82.1</v>
      </c>
      <c r="AF25" s="81">
        <v>63.3</v>
      </c>
      <c r="AG25" s="81">
        <v>69</v>
      </c>
      <c r="AH25" s="81">
        <v>82.1</v>
      </c>
      <c r="AI25" s="81">
        <v>79.2</v>
      </c>
      <c r="AJ25" s="81">
        <v>0</v>
      </c>
      <c r="AK25" s="81">
        <v>71</v>
      </c>
      <c r="AL25" s="81">
        <v>74.8</v>
      </c>
      <c r="AM25" s="82">
        <v>82.9</v>
      </c>
      <c r="AN25" s="81">
        <v>74</v>
      </c>
      <c r="AO25" s="81">
        <v>69.7</v>
      </c>
      <c r="AP25" s="81">
        <v>73.9</v>
      </c>
      <c r="AQ25" s="81">
        <v>70.1</v>
      </c>
      <c r="AR25" s="81">
        <v>86.4</v>
      </c>
      <c r="AS25" s="81">
        <v>70.4</v>
      </c>
      <c r="AT25" s="81">
        <v>74</v>
      </c>
      <c r="AU25" s="81">
        <v>70.7</v>
      </c>
      <c r="AV25" s="81">
        <v>70</v>
      </c>
      <c r="AW25" s="81">
        <v>58</v>
      </c>
      <c r="AX25" s="81">
        <v>71.2</v>
      </c>
      <c r="AZ25" s="93">
        <f>+AZ79/$AZ$84*100</f>
        <v>67.27648264404455</v>
      </c>
      <c r="BA25" s="102"/>
      <c r="BB25" s="93">
        <f>+BB79/$BB$84*100</f>
        <v>74.27955221916326</v>
      </c>
      <c r="BC25" s="93">
        <f>+BC79/$BC$84*100</f>
        <v>61.385734353020446</v>
      </c>
    </row>
    <row r="26" spans="1:55" ht="12.75" customHeight="1">
      <c r="A26" s="6" t="s">
        <v>192</v>
      </c>
      <c r="B26" s="28"/>
      <c r="C26" s="81">
        <v>69</v>
      </c>
      <c r="D26" s="81">
        <v>5</v>
      </c>
      <c r="E26" s="81">
        <v>27.4</v>
      </c>
      <c r="F26" s="81">
        <v>33.8</v>
      </c>
      <c r="G26" s="81">
        <v>47.6</v>
      </c>
      <c r="H26" s="81">
        <v>18.7</v>
      </c>
      <c r="I26" s="82">
        <v>0</v>
      </c>
      <c r="J26" s="81">
        <v>0</v>
      </c>
      <c r="K26" s="81">
        <v>89.5</v>
      </c>
      <c r="L26" s="81">
        <v>17.9</v>
      </c>
      <c r="M26" s="81">
        <v>9.6</v>
      </c>
      <c r="N26" s="81">
        <v>32.9</v>
      </c>
      <c r="O26" s="81">
        <v>30</v>
      </c>
      <c r="P26" s="81">
        <v>34.6</v>
      </c>
      <c r="Q26" s="81">
        <v>6.1</v>
      </c>
      <c r="R26" s="81">
        <v>45.2</v>
      </c>
      <c r="S26" s="81">
        <v>40.4</v>
      </c>
      <c r="T26" s="81">
        <v>10.8</v>
      </c>
      <c r="U26" s="81">
        <v>35.4</v>
      </c>
      <c r="V26" s="81">
        <v>39.5</v>
      </c>
      <c r="W26" s="81">
        <v>59.5</v>
      </c>
      <c r="X26" s="81">
        <v>85.9</v>
      </c>
      <c r="Y26" s="81">
        <v>11.7</v>
      </c>
      <c r="Z26" s="81">
        <v>41.1</v>
      </c>
      <c r="AA26" s="81">
        <v>13.6</v>
      </c>
      <c r="AB26" s="81">
        <v>6.3</v>
      </c>
      <c r="AC26" s="81">
        <v>24.1</v>
      </c>
      <c r="AD26" s="81">
        <v>9.1</v>
      </c>
      <c r="AE26" s="81">
        <v>0.2</v>
      </c>
      <c r="AF26" s="81">
        <v>28.2</v>
      </c>
      <c r="AG26" s="81">
        <v>9</v>
      </c>
      <c r="AH26" s="82">
        <v>0</v>
      </c>
      <c r="AI26" s="81">
        <v>1.2</v>
      </c>
      <c r="AJ26" s="81">
        <v>64.9</v>
      </c>
      <c r="AK26" s="81">
        <v>9.4</v>
      </c>
      <c r="AL26" s="81">
        <v>6.5</v>
      </c>
      <c r="AM26" s="82">
        <v>3.7</v>
      </c>
      <c r="AN26" s="81">
        <v>11</v>
      </c>
      <c r="AO26" s="81">
        <v>12.5</v>
      </c>
      <c r="AP26" s="81">
        <v>6.1</v>
      </c>
      <c r="AQ26" s="81">
        <v>4.4</v>
      </c>
      <c r="AR26" s="81">
        <v>9.4</v>
      </c>
      <c r="AS26" s="81">
        <v>4.6</v>
      </c>
      <c r="AT26" s="81">
        <v>1</v>
      </c>
      <c r="AU26" s="81">
        <v>11.8</v>
      </c>
      <c r="AV26" s="81">
        <v>5</v>
      </c>
      <c r="AW26" s="81">
        <v>12.6</v>
      </c>
      <c r="AX26" s="81">
        <v>2.9</v>
      </c>
      <c r="AZ26" s="93">
        <f>+AZ80/$AZ$84*100</f>
        <v>17.81127365531091</v>
      </c>
      <c r="BA26" s="102"/>
      <c r="BB26" s="93">
        <f>+BB80/$BB$84*100</f>
        <v>7.342664472122847</v>
      </c>
      <c r="BC26" s="93">
        <f>+BC80/$BC$84*100</f>
        <v>26.617118148754876</v>
      </c>
    </row>
    <row r="27" spans="1:55" ht="12.75" customHeight="1">
      <c r="A27" s="6" t="s">
        <v>193</v>
      </c>
      <c r="B27" s="28"/>
      <c r="C27" s="81">
        <v>5</v>
      </c>
      <c r="D27" s="81">
        <v>20.7</v>
      </c>
      <c r="E27" s="81">
        <v>9.7</v>
      </c>
      <c r="F27" s="81">
        <v>7.8</v>
      </c>
      <c r="G27" s="81">
        <v>11.5</v>
      </c>
      <c r="H27" s="81">
        <v>14.2</v>
      </c>
      <c r="I27" s="82">
        <v>0</v>
      </c>
      <c r="J27" s="81">
        <v>13.5</v>
      </c>
      <c r="K27" s="81">
        <v>1.2</v>
      </c>
      <c r="L27" s="81">
        <v>13.8</v>
      </c>
      <c r="M27" s="81">
        <v>1.5</v>
      </c>
      <c r="N27" s="81">
        <v>7.9</v>
      </c>
      <c r="O27" s="81">
        <v>7.9</v>
      </c>
      <c r="P27" s="81">
        <v>7.3</v>
      </c>
      <c r="Q27" s="81">
        <v>11.9</v>
      </c>
      <c r="R27" s="81">
        <v>11</v>
      </c>
      <c r="S27" s="81">
        <v>8.5</v>
      </c>
      <c r="T27" s="81">
        <v>11.8</v>
      </c>
      <c r="U27" s="81">
        <v>11.5</v>
      </c>
      <c r="V27" s="81">
        <v>4.3</v>
      </c>
      <c r="W27" s="81">
        <v>0.6</v>
      </c>
      <c r="X27" s="81">
        <v>9.8</v>
      </c>
      <c r="Y27" s="81">
        <v>3</v>
      </c>
      <c r="Z27" s="81">
        <v>10.3</v>
      </c>
      <c r="AA27" s="81">
        <v>8.4</v>
      </c>
      <c r="AB27" s="81">
        <v>9</v>
      </c>
      <c r="AC27" s="81">
        <v>6.5</v>
      </c>
      <c r="AD27" s="81">
        <v>15.4</v>
      </c>
      <c r="AE27" s="81">
        <v>17.7</v>
      </c>
      <c r="AF27" s="81">
        <v>6.4</v>
      </c>
      <c r="AG27" s="81">
        <v>21.9</v>
      </c>
      <c r="AH27" s="81">
        <v>17.9</v>
      </c>
      <c r="AI27" s="81">
        <v>19.6</v>
      </c>
      <c r="AJ27" s="81">
        <v>35.1</v>
      </c>
      <c r="AK27" s="81">
        <v>19.1</v>
      </c>
      <c r="AL27" s="81">
        <v>18.4</v>
      </c>
      <c r="AM27" s="82">
        <v>13</v>
      </c>
      <c r="AN27" s="81">
        <v>15</v>
      </c>
      <c r="AO27" s="81">
        <v>17.6</v>
      </c>
      <c r="AP27" s="81">
        <v>20</v>
      </c>
      <c r="AQ27" s="81">
        <v>24.5</v>
      </c>
      <c r="AR27" s="81">
        <v>4</v>
      </c>
      <c r="AS27" s="81">
        <v>25</v>
      </c>
      <c r="AT27" s="81">
        <v>25</v>
      </c>
      <c r="AU27" s="81">
        <v>16.9</v>
      </c>
      <c r="AV27" s="81">
        <v>25</v>
      </c>
      <c r="AW27" s="81">
        <v>28.6</v>
      </c>
      <c r="AX27" s="81">
        <v>25.7</v>
      </c>
      <c r="AZ27" s="93">
        <f>+AZ81/$AZ$84*100</f>
        <v>13.749218685306161</v>
      </c>
      <c r="BA27" s="102"/>
      <c r="BB27" s="93">
        <f>+BB81/$BB$84*100</f>
        <v>18.250336111983025</v>
      </c>
      <c r="BC27" s="93">
        <f>+BC81/$BC$84*100</f>
        <v>9.963029000271371</v>
      </c>
    </row>
    <row r="28" spans="1:55" ht="12.75" customHeight="1">
      <c r="A28" s="6" t="s">
        <v>194</v>
      </c>
      <c r="B28" s="28"/>
      <c r="C28" s="81">
        <v>9.2</v>
      </c>
      <c r="D28" s="81">
        <v>0.1</v>
      </c>
      <c r="E28" s="81">
        <v>2.4</v>
      </c>
      <c r="F28" s="81">
        <v>1.7</v>
      </c>
      <c r="G28" s="81">
        <v>6.8</v>
      </c>
      <c r="H28" s="81">
        <v>1.5</v>
      </c>
      <c r="I28" s="82">
        <v>0</v>
      </c>
      <c r="J28" s="81">
        <v>0</v>
      </c>
      <c r="K28" s="81">
        <v>9.3</v>
      </c>
      <c r="L28" s="81">
        <v>1</v>
      </c>
      <c r="M28" s="81">
        <v>0.9</v>
      </c>
      <c r="N28" s="81">
        <v>2.5</v>
      </c>
      <c r="O28" s="81">
        <v>2.2</v>
      </c>
      <c r="P28" s="81">
        <v>2.5</v>
      </c>
      <c r="Q28" s="81">
        <v>0.1</v>
      </c>
      <c r="R28" s="81">
        <v>1.5</v>
      </c>
      <c r="S28" s="81">
        <v>1.7</v>
      </c>
      <c r="T28" s="81">
        <v>2.3</v>
      </c>
      <c r="U28" s="81">
        <v>2.8</v>
      </c>
      <c r="V28" s="81">
        <v>7.1</v>
      </c>
      <c r="W28" s="81">
        <v>15.5</v>
      </c>
      <c r="X28" s="82">
        <v>0</v>
      </c>
      <c r="Y28" s="81">
        <v>0.2</v>
      </c>
      <c r="Z28" s="81">
        <v>2</v>
      </c>
      <c r="AA28" s="81">
        <v>1.3</v>
      </c>
      <c r="AB28" s="81">
        <v>0.5</v>
      </c>
      <c r="AC28" s="81">
        <v>0.2</v>
      </c>
      <c r="AD28" s="81">
        <v>1.6</v>
      </c>
      <c r="AE28" s="82">
        <v>0</v>
      </c>
      <c r="AF28" s="81">
        <v>2.1</v>
      </c>
      <c r="AG28" s="81">
        <v>0.1</v>
      </c>
      <c r="AH28" s="82">
        <v>0</v>
      </c>
      <c r="AI28" s="82">
        <v>0</v>
      </c>
      <c r="AJ28" s="81">
        <v>0</v>
      </c>
      <c r="AK28" s="81">
        <v>0.5</v>
      </c>
      <c r="AL28" s="81">
        <v>0.3</v>
      </c>
      <c r="AM28" s="82">
        <v>0.4</v>
      </c>
      <c r="AN28" s="82">
        <v>0</v>
      </c>
      <c r="AO28" s="81">
        <v>0.2</v>
      </c>
      <c r="AP28" s="81">
        <v>0</v>
      </c>
      <c r="AQ28" s="81">
        <v>1</v>
      </c>
      <c r="AR28" s="81">
        <v>0.2</v>
      </c>
      <c r="AS28" s="82">
        <v>0</v>
      </c>
      <c r="AT28" s="81">
        <v>0</v>
      </c>
      <c r="AU28" s="81">
        <v>0.6</v>
      </c>
      <c r="AV28" s="82">
        <v>0</v>
      </c>
      <c r="AW28" s="81">
        <v>0.8</v>
      </c>
      <c r="AX28" s="81">
        <v>0.2</v>
      </c>
      <c r="AZ28" s="93">
        <f>+AZ82/$AZ$84*100</f>
        <v>1.107105814130881</v>
      </c>
      <c r="BA28" s="102"/>
      <c r="BB28" s="93">
        <f>+BB82/$BB$84*100</f>
        <v>0.12744719673084368</v>
      </c>
      <c r="BC28" s="93">
        <f>+BC82/$BC$84*100</f>
        <v>1.9311619318567226</v>
      </c>
    </row>
    <row r="29" spans="1:55" s="49" customFormat="1" ht="12.75" customHeight="1">
      <c r="A29" s="6" t="s">
        <v>195</v>
      </c>
      <c r="B29" s="28"/>
      <c r="C29" s="82">
        <v>0</v>
      </c>
      <c r="D29" s="82">
        <v>0</v>
      </c>
      <c r="E29" s="81">
        <v>0</v>
      </c>
      <c r="F29" s="82">
        <v>0</v>
      </c>
      <c r="G29" s="81">
        <v>16.9</v>
      </c>
      <c r="H29" s="82">
        <v>0</v>
      </c>
      <c r="I29" s="82">
        <v>0</v>
      </c>
      <c r="J29" s="82">
        <v>0</v>
      </c>
      <c r="K29" s="82">
        <v>0</v>
      </c>
      <c r="L29" s="81">
        <v>0</v>
      </c>
      <c r="M29" s="81">
        <v>13.8</v>
      </c>
      <c r="N29" s="82">
        <v>0</v>
      </c>
      <c r="O29" s="82">
        <v>0</v>
      </c>
      <c r="P29" s="81">
        <v>0</v>
      </c>
      <c r="Q29" s="82">
        <v>0</v>
      </c>
      <c r="R29" s="82">
        <v>0</v>
      </c>
      <c r="S29" s="82">
        <v>0</v>
      </c>
      <c r="T29" s="81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1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1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1">
        <v>0</v>
      </c>
      <c r="AU29" s="82">
        <v>0</v>
      </c>
      <c r="AV29" s="82">
        <v>0</v>
      </c>
      <c r="AW29" s="82">
        <v>0</v>
      </c>
      <c r="AX29" s="81">
        <v>0</v>
      </c>
      <c r="AZ29" s="93">
        <f>+AZ83/$AZ$84*100</f>
        <v>0.05591920120749849</v>
      </c>
      <c r="BA29" s="93"/>
      <c r="BB29" s="93">
        <f>+BB83/$BB$84*100</f>
        <v>0</v>
      </c>
      <c r="BC29" s="93">
        <f>+BC83/$BC$84*100</f>
        <v>0.10295656609658281</v>
      </c>
    </row>
    <row r="30" spans="1:55" s="49" customFormat="1" ht="12.75" customHeight="1">
      <c r="A30" s="14" t="s">
        <v>196</v>
      </c>
      <c r="B30" s="28">
        <v>7</v>
      </c>
      <c r="C30" s="82">
        <f aca="true" t="shared" si="8" ref="C30:AX30">SUM(C25:C29)</f>
        <v>100</v>
      </c>
      <c r="D30" s="82">
        <f t="shared" si="8"/>
        <v>100</v>
      </c>
      <c r="E30" s="82">
        <f t="shared" si="8"/>
        <v>100.00000000000001</v>
      </c>
      <c r="F30" s="82">
        <f t="shared" si="8"/>
        <v>100</v>
      </c>
      <c r="G30" s="82">
        <f t="shared" si="8"/>
        <v>100</v>
      </c>
      <c r="H30" s="82">
        <f t="shared" si="8"/>
        <v>100</v>
      </c>
      <c r="I30" s="82">
        <f t="shared" si="8"/>
        <v>0</v>
      </c>
      <c r="J30" s="82">
        <f t="shared" si="8"/>
        <v>100</v>
      </c>
      <c r="K30" s="82">
        <f t="shared" si="8"/>
        <v>100</v>
      </c>
      <c r="L30" s="82">
        <f t="shared" si="8"/>
        <v>99.99999999999999</v>
      </c>
      <c r="M30" s="82">
        <f t="shared" si="8"/>
        <v>100</v>
      </c>
      <c r="N30" s="82">
        <f t="shared" si="8"/>
        <v>100</v>
      </c>
      <c r="O30" s="82">
        <f t="shared" si="8"/>
        <v>100.00000000000001</v>
      </c>
      <c r="P30" s="82">
        <f t="shared" si="8"/>
        <v>100</v>
      </c>
      <c r="Q30" s="82">
        <f t="shared" si="8"/>
        <v>100</v>
      </c>
      <c r="R30" s="82">
        <f t="shared" si="8"/>
        <v>100</v>
      </c>
      <c r="S30" s="82">
        <f t="shared" si="8"/>
        <v>100</v>
      </c>
      <c r="T30" s="82">
        <f t="shared" si="8"/>
        <v>99.99999999999999</v>
      </c>
      <c r="U30" s="82">
        <f t="shared" si="8"/>
        <v>99.99999999999999</v>
      </c>
      <c r="V30" s="82">
        <f t="shared" si="8"/>
        <v>99.99999999999999</v>
      </c>
      <c r="W30" s="82">
        <f t="shared" si="8"/>
        <v>100</v>
      </c>
      <c r="X30" s="82">
        <f t="shared" si="8"/>
        <v>100</v>
      </c>
      <c r="Y30" s="82">
        <f t="shared" si="8"/>
        <v>100</v>
      </c>
      <c r="Z30" s="82">
        <f t="shared" si="8"/>
        <v>100</v>
      </c>
      <c r="AA30" s="82">
        <f t="shared" si="8"/>
        <v>100</v>
      </c>
      <c r="AB30" s="82">
        <f t="shared" si="8"/>
        <v>100</v>
      </c>
      <c r="AC30" s="82">
        <f t="shared" si="8"/>
        <v>100.00000000000001</v>
      </c>
      <c r="AD30" s="82">
        <f t="shared" si="8"/>
        <v>100</v>
      </c>
      <c r="AE30" s="82">
        <f t="shared" si="8"/>
        <v>100</v>
      </c>
      <c r="AF30" s="82">
        <f t="shared" si="8"/>
        <v>100</v>
      </c>
      <c r="AG30" s="82">
        <f t="shared" si="8"/>
        <v>100</v>
      </c>
      <c r="AH30" s="82">
        <f t="shared" si="8"/>
        <v>100</v>
      </c>
      <c r="AI30" s="82">
        <f t="shared" si="8"/>
        <v>100</v>
      </c>
      <c r="AJ30" s="82">
        <f t="shared" si="8"/>
        <v>100</v>
      </c>
      <c r="AK30" s="82">
        <f t="shared" si="8"/>
        <v>100</v>
      </c>
      <c r="AL30" s="82">
        <f t="shared" si="8"/>
        <v>99.99999999999999</v>
      </c>
      <c r="AM30" s="82">
        <f t="shared" si="8"/>
        <v>100.00000000000001</v>
      </c>
      <c r="AN30" s="82">
        <f t="shared" si="8"/>
        <v>100</v>
      </c>
      <c r="AO30" s="82">
        <f t="shared" si="8"/>
        <v>100.00000000000001</v>
      </c>
      <c r="AP30" s="82">
        <f t="shared" si="8"/>
        <v>100</v>
      </c>
      <c r="AQ30" s="82">
        <f t="shared" si="8"/>
        <v>100</v>
      </c>
      <c r="AR30" s="82">
        <f t="shared" si="8"/>
        <v>100.00000000000001</v>
      </c>
      <c r="AS30" s="82">
        <f t="shared" si="8"/>
        <v>100</v>
      </c>
      <c r="AT30" s="82">
        <f t="shared" si="8"/>
        <v>100</v>
      </c>
      <c r="AU30" s="82">
        <f t="shared" si="8"/>
        <v>100</v>
      </c>
      <c r="AV30" s="82">
        <f t="shared" si="8"/>
        <v>100</v>
      </c>
      <c r="AW30" s="82">
        <f t="shared" si="8"/>
        <v>99.99999999999999</v>
      </c>
      <c r="AX30" s="82">
        <f t="shared" si="8"/>
        <v>100.00000000000001</v>
      </c>
      <c r="AZ30" s="93">
        <f>SUM(AZ25:AZ29)</f>
        <v>100</v>
      </c>
      <c r="BA30" s="93"/>
      <c r="BB30" s="93">
        <f>SUM(BB25:BB29)</f>
        <v>99.99999999999999</v>
      </c>
      <c r="BC30" s="93">
        <f>SUM(BC25:BC29)</f>
        <v>100</v>
      </c>
    </row>
    <row r="31" spans="1:55" s="49" customFormat="1" ht="12.75" customHeight="1">
      <c r="A31" s="14"/>
      <c r="B31" s="28"/>
      <c r="C31" s="82"/>
      <c r="D31" s="82"/>
      <c r="E31" s="81"/>
      <c r="F31" s="82"/>
      <c r="G31" s="81"/>
      <c r="H31" s="82"/>
      <c r="I31" s="82"/>
      <c r="J31" s="82"/>
      <c r="K31" s="82"/>
      <c r="L31" s="81"/>
      <c r="M31" s="81"/>
      <c r="N31" s="82"/>
      <c r="O31" s="82"/>
      <c r="P31" s="81"/>
      <c r="Q31" s="82"/>
      <c r="R31" s="82"/>
      <c r="S31" s="82"/>
      <c r="T31" s="81"/>
      <c r="U31" s="82"/>
      <c r="V31" s="82"/>
      <c r="W31" s="82"/>
      <c r="X31" s="82"/>
      <c r="Y31" s="82"/>
      <c r="Z31" s="82"/>
      <c r="AA31" s="81"/>
      <c r="AB31" s="82"/>
      <c r="AC31" s="82"/>
      <c r="AD31" s="82"/>
      <c r="AE31" s="82"/>
      <c r="AF31" s="82"/>
      <c r="AG31" s="82"/>
      <c r="AH31" s="82"/>
      <c r="AI31" s="82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1"/>
      <c r="AU31" s="82"/>
      <c r="AV31" s="82"/>
      <c r="AW31" s="82"/>
      <c r="AX31" s="81"/>
      <c r="AY31" s="53"/>
      <c r="AZ31" s="53"/>
      <c r="BA31" s="53"/>
      <c r="BB31" s="53"/>
      <c r="BC31" s="53"/>
    </row>
    <row r="32" spans="1:55" s="54" customFormat="1" ht="12.75" customHeight="1">
      <c r="A32" s="54" t="s">
        <v>197</v>
      </c>
      <c r="B32" s="28">
        <v>8</v>
      </c>
      <c r="C32" s="85" t="s">
        <v>246</v>
      </c>
      <c r="D32" s="85" t="s">
        <v>246</v>
      </c>
      <c r="E32" s="81">
        <v>26.6</v>
      </c>
      <c r="F32" s="81">
        <v>23</v>
      </c>
      <c r="G32" s="81">
        <v>15</v>
      </c>
      <c r="H32" s="81">
        <v>15</v>
      </c>
      <c r="I32" s="85" t="s">
        <v>246</v>
      </c>
      <c r="J32" s="85" t="s">
        <v>246</v>
      </c>
      <c r="K32" s="85" t="s">
        <v>246</v>
      </c>
      <c r="L32" s="81">
        <v>13</v>
      </c>
      <c r="M32" s="81">
        <v>0</v>
      </c>
      <c r="N32" s="81">
        <v>8.4</v>
      </c>
      <c r="O32" s="81">
        <v>7.7</v>
      </c>
      <c r="P32" s="81">
        <v>9.7</v>
      </c>
      <c r="Q32" s="81">
        <v>3</v>
      </c>
      <c r="R32" s="81">
        <v>3</v>
      </c>
      <c r="S32" s="81">
        <v>4.7</v>
      </c>
      <c r="T32" s="81">
        <v>6</v>
      </c>
      <c r="U32" s="81">
        <v>5</v>
      </c>
      <c r="V32" s="85" t="s">
        <v>246</v>
      </c>
      <c r="W32" s="85" t="s">
        <v>246</v>
      </c>
      <c r="X32" s="85" t="s">
        <v>246</v>
      </c>
      <c r="Y32" s="85" t="s">
        <v>246</v>
      </c>
      <c r="Z32" s="81">
        <v>3</v>
      </c>
      <c r="AA32" s="81">
        <v>3.7</v>
      </c>
      <c r="AB32" s="85" t="s">
        <v>246</v>
      </c>
      <c r="AC32" s="81">
        <v>0</v>
      </c>
      <c r="AD32" s="85" t="s">
        <v>246</v>
      </c>
      <c r="AE32" s="85" t="s">
        <v>246</v>
      </c>
      <c r="AF32" s="81">
        <v>1</v>
      </c>
      <c r="AG32" s="85" t="s">
        <v>246</v>
      </c>
      <c r="AH32" s="85" t="s">
        <v>246</v>
      </c>
      <c r="AI32" s="85" t="s">
        <v>246</v>
      </c>
      <c r="AJ32" s="85" t="s">
        <v>246</v>
      </c>
      <c r="AK32" s="81">
        <v>1</v>
      </c>
      <c r="AL32" s="81">
        <v>0</v>
      </c>
      <c r="AM32" s="85" t="s">
        <v>246</v>
      </c>
      <c r="AN32" s="85" t="s">
        <v>246</v>
      </c>
      <c r="AO32" s="85" t="s">
        <v>246</v>
      </c>
      <c r="AP32" s="81">
        <v>1</v>
      </c>
      <c r="AQ32" s="85" t="s">
        <v>246</v>
      </c>
      <c r="AR32" s="85" t="s">
        <v>246</v>
      </c>
      <c r="AS32" s="85" t="s">
        <v>246</v>
      </c>
      <c r="AT32" s="81">
        <v>0</v>
      </c>
      <c r="AU32" s="85" t="s">
        <v>246</v>
      </c>
      <c r="AV32" s="85" t="s">
        <v>246</v>
      </c>
      <c r="AW32" s="85" t="s">
        <v>246</v>
      </c>
      <c r="AX32" s="81">
        <v>0</v>
      </c>
      <c r="AZ32" s="12">
        <f>SUM(C32:AX32)</f>
        <v>149.79999999999998</v>
      </c>
      <c r="BB32" s="25">
        <f>SUMIF($C$60:$AX$60,"já",C32:AX32)</f>
        <v>2</v>
      </c>
      <c r="BC32" s="25">
        <f>SUMIF($C$60:$AX$60,"nei",C32:AX32)</f>
        <v>147.79999999999998</v>
      </c>
    </row>
    <row r="33" spans="1:55" s="55" customFormat="1" ht="12.75" customHeight="1">
      <c r="A33" s="6" t="s">
        <v>245</v>
      </c>
      <c r="B33" s="28">
        <v>9</v>
      </c>
      <c r="C33" s="83">
        <f>(+'4.1. Samtryggingard.'!C20/'4.1. Samtryggingard.'!C13)*100</f>
        <v>3.4788196004177223</v>
      </c>
      <c r="D33" s="83">
        <f>(+'4.1. Samtryggingard.'!D20/'4.1. Samtryggingard.'!D13)*100</f>
        <v>96.30838405991969</v>
      </c>
      <c r="E33" s="83">
        <f>(+'4.1. Samtryggingard.'!E20/'4.1. Samtryggingard.'!E13)*100</f>
        <v>28.109864503074583</v>
      </c>
      <c r="F33" s="83">
        <f>(+'4.1. Samtryggingard.'!F20/'4.1. Samtryggingard.'!F13)*100</f>
        <v>62.17399407716595</v>
      </c>
      <c r="G33" s="83">
        <f>(+'4.1. Samtryggingard.'!G20/'4.1. Samtryggingard.'!G13)*100</f>
        <v>0.4938996189756243</v>
      </c>
      <c r="H33" s="83">
        <f>(+'4.1. Samtryggingard.'!H20/'4.1. Samtryggingard.'!H13)*100</f>
        <v>108.19523567769005</v>
      </c>
      <c r="I33" s="83">
        <f>(+'4.1. Samtryggingard.'!I20/'4.1. Samtryggingard.'!I13)*100</f>
        <v>0</v>
      </c>
      <c r="J33" s="83">
        <f>(+'4.1. Samtryggingard.'!J20/'4.1. Samtryggingard.'!J13)*100</f>
        <v>107.4209040025703</v>
      </c>
      <c r="K33" s="83">
        <f>(+'4.1. Samtryggingard.'!K20/'4.1. Samtryggingard.'!K13)*100</f>
        <v>8.509770485501553</v>
      </c>
      <c r="L33" s="83">
        <f>(+'4.1. Samtryggingard.'!L20/'4.1. Samtryggingard.'!L13)*100</f>
        <v>45.750337653907366</v>
      </c>
      <c r="M33" s="83">
        <f>(+'4.1. Samtryggingard.'!M20/'4.1. Samtryggingard.'!M13)*100</f>
        <v>-52.62608437203945</v>
      </c>
      <c r="N33" s="83">
        <f>(+'4.1. Samtryggingard.'!N20/'4.1. Samtryggingard.'!N13)*100</f>
        <v>58.88132291043442</v>
      </c>
      <c r="O33" s="83">
        <f>(+'4.1. Samtryggingard.'!O20/'4.1. Samtryggingard.'!O13)*100</f>
        <v>24.388749083454616</v>
      </c>
      <c r="P33" s="83">
        <f>(+'4.1. Samtryggingard.'!P20/'4.1. Samtryggingard.'!P13)*100</f>
        <v>41.66256103116427</v>
      </c>
      <c r="Q33" s="83">
        <f>(+'4.1. Samtryggingard.'!Q20/'4.1. Samtryggingard.'!Q13)*100</f>
        <v>49.87466016815807</v>
      </c>
      <c r="R33" s="83">
        <f>(+'4.1. Samtryggingard.'!R20/'4.1. Samtryggingard.'!R13)*100</f>
        <v>3.3141115860846297</v>
      </c>
      <c r="S33" s="83">
        <f>(+'4.1. Samtryggingard.'!S20/'4.1. Samtryggingard.'!S13)*100</f>
        <v>23.918598514841175</v>
      </c>
      <c r="T33" s="83">
        <f>(+'4.1. Samtryggingard.'!T20/'4.1. Samtryggingard.'!T13)*100</f>
        <v>13.344836614617044</v>
      </c>
      <c r="U33" s="83">
        <f>(+'4.1. Samtryggingard.'!U20/'4.1. Samtryggingard.'!U13)*100</f>
        <v>74.23375812834001</v>
      </c>
      <c r="V33" s="83">
        <f>(+'4.1. Samtryggingard.'!V20/'4.1. Samtryggingard.'!V13)*100</f>
        <v>7.0434204015510025</v>
      </c>
      <c r="W33" s="83">
        <f>(+'4.1. Samtryggingard.'!W20/'4.1. Samtryggingard.'!W13)*100</f>
        <v>1.233843973710572</v>
      </c>
      <c r="X33" s="83">
        <f>(+'4.1. Samtryggingard.'!X20/'4.1. Samtryggingard.'!X13)*100</f>
        <v>0.866364800922504</v>
      </c>
      <c r="Y33" s="83">
        <f>(+'4.1. Samtryggingard.'!Y20/'4.1. Samtryggingard.'!Y13)*100</f>
        <v>89.98455207990239</v>
      </c>
      <c r="Z33" s="83">
        <f>(+'4.1. Samtryggingard.'!Z20/'4.1. Samtryggingard.'!Z13)*100</f>
        <v>74.86498494857717</v>
      </c>
      <c r="AA33" s="83">
        <f>(+'4.1. Samtryggingard.'!AA20/'4.1. Samtryggingard.'!AA13)*100</f>
        <v>159.63597356943055</v>
      </c>
      <c r="AB33" s="83">
        <f>(+'4.1. Samtryggingard.'!AB20/'4.1. Samtryggingard.'!AB13)*100</f>
        <v>49.75893997445722</v>
      </c>
      <c r="AC33" s="83">
        <f>(+'4.1. Samtryggingard.'!AC20/'4.1. Samtryggingard.'!AC13)*100</f>
        <v>80.18101990388364</v>
      </c>
      <c r="AD33" s="83">
        <f>(+'4.1. Samtryggingard.'!AD20/'4.1. Samtryggingard.'!AD13)*100</f>
        <v>393.14988102986524</v>
      </c>
      <c r="AE33" s="83">
        <f>(+'4.1. Samtryggingard.'!AE20/'4.1. Samtryggingard.'!AE13)*100</f>
        <v>38.31468706683922</v>
      </c>
      <c r="AF33" s="83">
        <f>(+'4.1. Samtryggingard.'!AF20/'4.1. Samtryggingard.'!AF13)*100</f>
        <v>54.65553878845739</v>
      </c>
      <c r="AG33" s="84" t="s">
        <v>246</v>
      </c>
      <c r="AH33" s="84" t="s">
        <v>246</v>
      </c>
      <c r="AI33" s="84" t="s">
        <v>246</v>
      </c>
      <c r="AJ33" s="83">
        <f>(+'4.1. Samtryggingard.'!AJ20/'4.1. Samtryggingard.'!AJ13)*100</f>
        <v>4.600839794945774</v>
      </c>
      <c r="AK33" s="83">
        <f>(+'4.1. Samtryggingard.'!AK20/'4.1. Samtryggingard.'!AK13)*100</f>
        <v>109.81284559761804</v>
      </c>
      <c r="AL33" s="83">
        <f>(+'4.1. Samtryggingard.'!AL20/'4.1. Samtryggingard.'!AL13)*100</f>
        <v>146.14191152625787</v>
      </c>
      <c r="AM33" s="83">
        <f>(+'4.1. Samtryggingard.'!AM20/'4.1. Samtryggingard.'!AM13)*100</f>
        <v>120.7731924286001</v>
      </c>
      <c r="AN33" s="84" t="s">
        <v>246</v>
      </c>
      <c r="AO33" s="83">
        <f>(+'4.1. Samtryggingard.'!AO20/'4.1. Samtryggingard.'!AO13)*100</f>
        <v>459.11456810339786</v>
      </c>
      <c r="AP33" s="83">
        <f>(+'4.1. Samtryggingard.'!AP20/'4.1. Samtryggingard.'!AP13)*100</f>
        <v>98.10148514851485</v>
      </c>
      <c r="AQ33" s="84" t="s">
        <v>246</v>
      </c>
      <c r="AR33" s="84" t="s">
        <v>246</v>
      </c>
      <c r="AS33" s="84" t="s">
        <v>246</v>
      </c>
      <c r="AT33" s="84" t="s">
        <v>246</v>
      </c>
      <c r="AU33" s="83">
        <f>(+'4.1. Samtryggingard.'!AU20/'4.1. Samtryggingard.'!AU13)*100</f>
        <v>125.97851677457328</v>
      </c>
      <c r="AV33" s="83">
        <f>(+'4.1. Samtryggingard.'!AV20/'4.1. Samtryggingard.'!AV13)*100</f>
        <v>21.084549163128504</v>
      </c>
      <c r="AW33" s="83">
        <f>(+'4.1. Samtryggingard.'!AW20/'4.1. Samtryggingard.'!AW13)*100</f>
        <v>92.97765793528505</v>
      </c>
      <c r="AX33" s="84" t="s">
        <v>246</v>
      </c>
      <c r="AY33" s="83"/>
      <c r="AZ33" s="83">
        <f>(+'4.1. Samtryggingard.'!AZ20/'4.1. Samtryggingard.'!AZ13)*100</f>
        <v>48.17131677689506</v>
      </c>
      <c r="BA33" s="83"/>
      <c r="BB33" s="83">
        <f>(+'4.1. Samtryggingard.'!BB20/'4.1. Samtryggingard.'!BB13)*100</f>
        <v>93.03557362146904</v>
      </c>
      <c r="BC33" s="83">
        <f>(+'4.1. Samtryggingard.'!BC20/'4.1. Samtryggingard.'!BC13)*100</f>
        <v>34.27019064613109</v>
      </c>
    </row>
    <row r="34" spans="1:55" s="55" customFormat="1" ht="12.75" customHeight="1">
      <c r="A34" s="6"/>
      <c r="B34" s="28"/>
      <c r="C34" s="82"/>
      <c r="D34" s="82"/>
      <c r="E34" s="81"/>
      <c r="F34" s="81"/>
      <c r="G34" s="81"/>
      <c r="H34" s="81"/>
      <c r="I34" s="82"/>
      <c r="J34" s="82"/>
      <c r="K34" s="82"/>
      <c r="L34" s="81"/>
      <c r="M34" s="82"/>
      <c r="N34" s="82"/>
      <c r="O34" s="81"/>
      <c r="P34" s="81"/>
      <c r="Q34" s="81"/>
      <c r="R34" s="81"/>
      <c r="S34" s="81"/>
      <c r="T34" s="81"/>
      <c r="U34" s="82"/>
      <c r="V34" s="81"/>
      <c r="W34" s="81"/>
      <c r="X34" s="81"/>
      <c r="Y34" s="82"/>
      <c r="Z34" s="81"/>
      <c r="AA34" s="81"/>
      <c r="AB34" s="82"/>
      <c r="AC34" s="81"/>
      <c r="AD34" s="82"/>
      <c r="AE34" s="81"/>
      <c r="AF34" s="81"/>
      <c r="AG34" s="82"/>
      <c r="AH34" s="82"/>
      <c r="AI34" s="82"/>
      <c r="AJ34" s="81"/>
      <c r="AK34" s="82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1"/>
      <c r="AW34" s="81"/>
      <c r="AX34" s="81"/>
      <c r="AZ34" s="56"/>
      <c r="BA34" s="56"/>
      <c r="BB34" s="57"/>
      <c r="BC34" s="57"/>
    </row>
    <row r="35" spans="1:55" ht="12.75" customHeight="1">
      <c r="A35" s="58" t="s">
        <v>198</v>
      </c>
      <c r="B35" s="28">
        <v>10</v>
      </c>
      <c r="C35" s="81">
        <v>-0.6</v>
      </c>
      <c r="D35" s="81">
        <v>-54.3</v>
      </c>
      <c r="E35" s="81">
        <v>7.9</v>
      </c>
      <c r="F35" s="81">
        <v>10.3</v>
      </c>
      <c r="G35" s="81">
        <v>8.3</v>
      </c>
      <c r="H35" s="81">
        <v>3</v>
      </c>
      <c r="I35" s="81">
        <v>0</v>
      </c>
      <c r="J35" s="81">
        <v>6.5</v>
      </c>
      <c r="K35" s="81">
        <v>9.1</v>
      </c>
      <c r="L35" s="81">
        <v>2.9</v>
      </c>
      <c r="M35" s="81">
        <v>8.1</v>
      </c>
      <c r="N35" s="81">
        <v>4</v>
      </c>
      <c r="O35" s="81">
        <v>23.9</v>
      </c>
      <c r="P35" s="81">
        <v>6.4</v>
      </c>
      <c r="Q35" s="81">
        <v>-3</v>
      </c>
      <c r="R35" s="81">
        <v>-5.4</v>
      </c>
      <c r="S35" s="81">
        <v>2.7</v>
      </c>
      <c r="T35" s="81">
        <v>3.7</v>
      </c>
      <c r="U35" s="81">
        <v>12.6</v>
      </c>
      <c r="V35" s="81">
        <v>-8.5</v>
      </c>
      <c r="W35" s="81">
        <v>-0.9</v>
      </c>
      <c r="X35" s="82">
        <v>9.8</v>
      </c>
      <c r="Y35" s="81">
        <v>-53.9</v>
      </c>
      <c r="Z35" s="81">
        <v>23.5</v>
      </c>
      <c r="AA35" s="81">
        <v>9.8</v>
      </c>
      <c r="AB35" s="81">
        <v>-0.9</v>
      </c>
      <c r="AC35" s="81">
        <v>-72.7</v>
      </c>
      <c r="AD35" s="81">
        <v>-1.4</v>
      </c>
      <c r="AE35" s="81">
        <v>10.7</v>
      </c>
      <c r="AF35" s="81">
        <v>-1.3</v>
      </c>
      <c r="AG35" s="85" t="s">
        <v>246</v>
      </c>
      <c r="AH35" s="85" t="s">
        <v>246</v>
      </c>
      <c r="AI35" s="81">
        <v>2.3</v>
      </c>
      <c r="AJ35" s="82">
        <v>7.3</v>
      </c>
      <c r="AK35" s="81">
        <v>-43.6</v>
      </c>
      <c r="AL35" s="81">
        <v>-69</v>
      </c>
      <c r="AM35" s="82">
        <v>-68</v>
      </c>
      <c r="AN35" s="87" t="s">
        <v>246</v>
      </c>
      <c r="AO35" s="82">
        <v>-70.9</v>
      </c>
      <c r="AP35" s="81">
        <v>-78.4</v>
      </c>
      <c r="AQ35" s="87" t="s">
        <v>246</v>
      </c>
      <c r="AR35" s="84" t="s">
        <v>246</v>
      </c>
      <c r="AS35" s="87" t="s">
        <v>246</v>
      </c>
      <c r="AT35" s="88" t="s">
        <v>246</v>
      </c>
      <c r="AU35" s="81">
        <v>-70.9</v>
      </c>
      <c r="AV35" s="81">
        <v>-66.6</v>
      </c>
      <c r="AW35" s="81">
        <v>-92.9</v>
      </c>
      <c r="AX35" s="88" t="s">
        <v>246</v>
      </c>
      <c r="AZ35" s="59"/>
      <c r="BA35" s="59"/>
      <c r="BB35" s="46"/>
      <c r="BC35" s="46"/>
    </row>
    <row r="36" spans="1:241" s="60" customFormat="1" ht="12.75" customHeight="1">
      <c r="A36" s="58" t="s">
        <v>199</v>
      </c>
      <c r="B36" s="28">
        <v>11</v>
      </c>
      <c r="C36" s="81">
        <v>43.1</v>
      </c>
      <c r="D36" s="81">
        <v>-52.5</v>
      </c>
      <c r="E36" s="81">
        <v>31.8</v>
      </c>
      <c r="F36" s="81">
        <v>21.3</v>
      </c>
      <c r="G36" s="81">
        <v>19.5</v>
      </c>
      <c r="H36" s="81">
        <v>9</v>
      </c>
      <c r="I36" s="81">
        <v>0</v>
      </c>
      <c r="J36" s="81">
        <v>6.5</v>
      </c>
      <c r="K36" s="81">
        <v>25.6</v>
      </c>
      <c r="L36" s="81">
        <v>5.6</v>
      </c>
      <c r="M36" s="81">
        <v>12.6</v>
      </c>
      <c r="N36" s="81">
        <v>14</v>
      </c>
      <c r="O36" s="81">
        <v>7</v>
      </c>
      <c r="P36" s="81">
        <v>14.2</v>
      </c>
      <c r="Q36" s="81">
        <v>2.3</v>
      </c>
      <c r="R36" s="81">
        <v>47.1</v>
      </c>
      <c r="S36" s="81">
        <v>9.3</v>
      </c>
      <c r="T36" s="81">
        <v>5.6</v>
      </c>
      <c r="U36" s="81">
        <v>28.3</v>
      </c>
      <c r="V36" s="81">
        <v>11.2</v>
      </c>
      <c r="W36" s="81">
        <v>11.3</v>
      </c>
      <c r="X36" s="82">
        <v>53.8</v>
      </c>
      <c r="Y36" s="81">
        <v>-50.9</v>
      </c>
      <c r="Z36" s="81">
        <v>10.8</v>
      </c>
      <c r="AA36" s="81">
        <v>22.1</v>
      </c>
      <c r="AB36" s="81">
        <v>19.2</v>
      </c>
      <c r="AC36" s="81">
        <v>-73.9</v>
      </c>
      <c r="AD36" s="81">
        <v>2.4</v>
      </c>
      <c r="AE36" s="81">
        <v>3.5</v>
      </c>
      <c r="AF36" s="81">
        <v>5.8</v>
      </c>
      <c r="AG36" s="82">
        <v>9.1</v>
      </c>
      <c r="AH36" s="82">
        <v>0</v>
      </c>
      <c r="AI36" s="81">
        <v>2.3</v>
      </c>
      <c r="AJ36" s="82">
        <v>5.8</v>
      </c>
      <c r="AK36" s="81">
        <v>-46.6</v>
      </c>
      <c r="AL36" s="81">
        <v>-70</v>
      </c>
      <c r="AM36" s="82">
        <v>-68</v>
      </c>
      <c r="AN36" s="81">
        <v>14.4</v>
      </c>
      <c r="AO36" s="82">
        <v>-71.8</v>
      </c>
      <c r="AP36" s="81">
        <v>-81.9</v>
      </c>
      <c r="AQ36" s="81">
        <v>10.2</v>
      </c>
      <c r="AR36" s="81">
        <v>6.8</v>
      </c>
      <c r="AS36" s="81">
        <v>-1.2</v>
      </c>
      <c r="AT36" s="81">
        <v>-2.5</v>
      </c>
      <c r="AU36" s="81">
        <v>-70.9</v>
      </c>
      <c r="AV36" s="81">
        <v>-66.9</v>
      </c>
      <c r="AW36" s="81">
        <v>-97.5</v>
      </c>
      <c r="AX36" s="81">
        <v>-99.3</v>
      </c>
      <c r="AY36" s="32"/>
      <c r="AZ36" s="59"/>
      <c r="BA36" s="59"/>
      <c r="BB36" s="46"/>
      <c r="BC36" s="46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</row>
    <row r="37" spans="1:241" s="60" customFormat="1" ht="12.75" customHeight="1">
      <c r="A37" s="4"/>
      <c r="B37" s="28"/>
      <c r="C37" s="61"/>
      <c r="D37" s="61"/>
      <c r="E37" s="61"/>
      <c r="F37" s="61"/>
      <c r="G37" s="61"/>
      <c r="H37" s="61"/>
      <c r="I37" s="61"/>
      <c r="J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32"/>
      <c r="AZ37" s="59"/>
      <c r="BA37" s="59"/>
      <c r="BB37" s="46"/>
      <c r="BC37" s="46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</row>
    <row r="38" spans="1:241" s="60" customFormat="1" ht="12.75" customHeight="1">
      <c r="A38" s="4"/>
      <c r="B38" s="28"/>
      <c r="C38" s="61"/>
      <c r="D38" s="61"/>
      <c r="E38" s="61"/>
      <c r="F38" s="61"/>
      <c r="G38" s="61"/>
      <c r="H38" s="61"/>
      <c r="I38" s="61"/>
      <c r="J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32"/>
      <c r="AZ38" s="59"/>
      <c r="BA38" s="59"/>
      <c r="BB38" s="46"/>
      <c r="BC38" s="46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</row>
    <row r="39" spans="1:241" s="60" customFormat="1" ht="12.75" customHeight="1">
      <c r="A39" s="4" t="s">
        <v>200</v>
      </c>
      <c r="B39" s="28"/>
      <c r="C39" s="61"/>
      <c r="D39" s="61"/>
      <c r="E39" s="61"/>
      <c r="F39" s="61"/>
      <c r="G39" s="61"/>
      <c r="H39" s="61"/>
      <c r="I39" s="366" t="s">
        <v>247</v>
      </c>
      <c r="J39" s="366"/>
      <c r="K39" s="366"/>
      <c r="L39" s="61"/>
      <c r="M39" s="62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89" t="s">
        <v>202</v>
      </c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32"/>
      <c r="AZ39" s="59"/>
      <c r="BA39" s="59"/>
      <c r="BB39" s="46"/>
      <c r="BC39" s="46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</row>
    <row r="40" spans="1:241" s="60" customFormat="1" ht="12.75" customHeight="1">
      <c r="A40" s="62"/>
      <c r="B40" s="63"/>
      <c r="C40" s="61"/>
      <c r="D40" s="61"/>
      <c r="E40" s="61"/>
      <c r="F40" s="61"/>
      <c r="G40" s="61"/>
      <c r="H40" s="61"/>
      <c r="I40" s="365" t="s">
        <v>252</v>
      </c>
      <c r="J40" s="365"/>
      <c r="K40" s="86"/>
      <c r="L40" s="61"/>
      <c r="M40" s="6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89" t="s">
        <v>204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32"/>
      <c r="AZ40" s="59"/>
      <c r="BA40" s="59"/>
      <c r="BB40" s="46"/>
      <c r="BC40" s="46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</row>
    <row r="41" spans="1:241" s="60" customFormat="1" ht="12.75" customHeight="1">
      <c r="A41" s="62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32"/>
      <c r="AZ41" s="59"/>
      <c r="BA41" s="59"/>
      <c r="BB41" s="46"/>
      <c r="BC41" s="46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</row>
    <row r="42" spans="1:241" s="60" customFormat="1" ht="12.75" customHeight="1">
      <c r="A42" s="62"/>
      <c r="B42" s="63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32"/>
      <c r="AZ42" s="59"/>
      <c r="BA42" s="59"/>
      <c r="BB42" s="46"/>
      <c r="BC42" s="46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</row>
    <row r="43" spans="1:241" s="60" customFormat="1" ht="12.75" customHeight="1">
      <c r="A43" s="62"/>
      <c r="B43" s="6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32"/>
      <c r="AZ43" s="59"/>
      <c r="BA43" s="59"/>
      <c r="BB43" s="46"/>
      <c r="BC43" s="46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</row>
    <row r="44" spans="2:162" s="60" customFormat="1" ht="12.75" customHeight="1">
      <c r="B44" s="63"/>
      <c r="C44" s="4" t="s">
        <v>201</v>
      </c>
      <c r="D44" s="65"/>
      <c r="F44" s="66"/>
      <c r="G44" s="64"/>
      <c r="H44" s="64"/>
      <c r="I44" s="4" t="s">
        <v>201</v>
      </c>
      <c r="J44" s="64"/>
      <c r="K44" s="65"/>
      <c r="L44" s="64"/>
      <c r="M44" s="65"/>
      <c r="N44" s="66"/>
      <c r="O44" s="64"/>
      <c r="P44" s="4" t="s">
        <v>201</v>
      </c>
      <c r="Q44" s="65"/>
      <c r="R44" s="65"/>
      <c r="S44" s="65"/>
      <c r="T44" s="67"/>
      <c r="U44" s="64"/>
      <c r="V44" s="4" t="s">
        <v>201</v>
      </c>
      <c r="W44" s="64"/>
      <c r="X44" s="65"/>
      <c r="Y44" s="64"/>
      <c r="Z44" s="65"/>
      <c r="AB44" s="65"/>
      <c r="AC44" s="4" t="s">
        <v>201</v>
      </c>
      <c r="AD44" s="65"/>
      <c r="AE44" s="65"/>
      <c r="AF44" s="64"/>
      <c r="AG44" s="65"/>
      <c r="AH44" s="64"/>
      <c r="AI44" s="65"/>
      <c r="AJ44" s="4" t="s">
        <v>201</v>
      </c>
      <c r="AK44" s="64"/>
      <c r="AN44" s="65"/>
      <c r="AO44" s="65"/>
      <c r="AP44" s="65"/>
      <c r="AQ44" s="4" t="s">
        <v>201</v>
      </c>
      <c r="AR44" s="65"/>
      <c r="AS44" s="64"/>
      <c r="AT44" s="64"/>
      <c r="AU44" s="65"/>
      <c r="AV44" s="4"/>
      <c r="AW44" s="64"/>
      <c r="AX44" s="4" t="s">
        <v>201</v>
      </c>
      <c r="AZ44" s="64"/>
      <c r="BA44" s="64"/>
      <c r="BB44" s="68"/>
      <c r="BC44" s="68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</row>
    <row r="45" spans="2:162" s="60" customFormat="1" ht="12.75" customHeight="1">
      <c r="B45" s="63"/>
      <c r="C45" s="6" t="s">
        <v>203</v>
      </c>
      <c r="D45" s="65"/>
      <c r="F45" s="65"/>
      <c r="G45" s="64"/>
      <c r="H45" s="64"/>
      <c r="I45" s="6" t="s">
        <v>203</v>
      </c>
      <c r="J45" s="64"/>
      <c r="K45" s="65"/>
      <c r="L45" s="64"/>
      <c r="M45" s="65"/>
      <c r="N45" s="66"/>
      <c r="O45" s="64"/>
      <c r="P45" s="6" t="s">
        <v>203</v>
      </c>
      <c r="Q45" s="65"/>
      <c r="R45" s="65"/>
      <c r="S45" s="65"/>
      <c r="T45" s="67"/>
      <c r="U45" s="64"/>
      <c r="V45" s="6" t="s">
        <v>203</v>
      </c>
      <c r="W45" s="64"/>
      <c r="X45" s="65"/>
      <c r="Y45" s="64"/>
      <c r="Z45" s="65"/>
      <c r="AB45" s="65"/>
      <c r="AC45" s="6" t="s">
        <v>203</v>
      </c>
      <c r="AD45" s="65"/>
      <c r="AE45" s="65"/>
      <c r="AF45" s="64"/>
      <c r="AG45" s="65"/>
      <c r="AH45" s="64"/>
      <c r="AI45" s="65"/>
      <c r="AJ45" s="6" t="s">
        <v>203</v>
      </c>
      <c r="AK45" s="64"/>
      <c r="AN45" s="65"/>
      <c r="AO45" s="65"/>
      <c r="AP45" s="65"/>
      <c r="AQ45" s="6" t="s">
        <v>203</v>
      </c>
      <c r="AR45" s="65"/>
      <c r="AS45" s="64"/>
      <c r="AT45" s="64"/>
      <c r="AU45" s="65"/>
      <c r="AV45" s="6"/>
      <c r="AW45" s="64"/>
      <c r="AX45" s="6" t="s">
        <v>203</v>
      </c>
      <c r="AZ45" s="64"/>
      <c r="BA45" s="64"/>
      <c r="BB45" s="68"/>
      <c r="BC45" s="68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</row>
    <row r="46" spans="2:162" s="60" customFormat="1" ht="12.75" customHeight="1">
      <c r="B46" s="63"/>
      <c r="C46" s="6" t="s">
        <v>205</v>
      </c>
      <c r="D46" s="65"/>
      <c r="F46" s="65"/>
      <c r="G46" s="64"/>
      <c r="H46" s="64"/>
      <c r="I46" s="6" t="s">
        <v>205</v>
      </c>
      <c r="J46" s="64"/>
      <c r="K46" s="65"/>
      <c r="L46" s="64"/>
      <c r="M46" s="65"/>
      <c r="N46" s="64"/>
      <c r="O46" s="64"/>
      <c r="P46" s="6" t="s">
        <v>205</v>
      </c>
      <c r="Q46" s="65"/>
      <c r="R46" s="65"/>
      <c r="S46" s="65"/>
      <c r="T46" s="67"/>
      <c r="U46" s="64"/>
      <c r="V46" s="6" t="s">
        <v>205</v>
      </c>
      <c r="W46" s="64"/>
      <c r="X46" s="65"/>
      <c r="Y46" s="64"/>
      <c r="Z46" s="65"/>
      <c r="AB46" s="65"/>
      <c r="AC46" s="6" t="s">
        <v>205</v>
      </c>
      <c r="AD46" s="65"/>
      <c r="AE46" s="65"/>
      <c r="AF46" s="64"/>
      <c r="AG46" s="65"/>
      <c r="AH46" s="64"/>
      <c r="AI46" s="65"/>
      <c r="AJ46" s="6" t="s">
        <v>205</v>
      </c>
      <c r="AK46" s="64"/>
      <c r="AL46" s="65"/>
      <c r="AN46" s="65"/>
      <c r="AO46" s="65"/>
      <c r="AP46" s="65"/>
      <c r="AQ46" s="6" t="s">
        <v>205</v>
      </c>
      <c r="AR46" s="65"/>
      <c r="AS46" s="64"/>
      <c r="AT46" s="64"/>
      <c r="AU46" s="65"/>
      <c r="AV46" s="6"/>
      <c r="AW46" s="64"/>
      <c r="AX46" s="6" t="s">
        <v>205</v>
      </c>
      <c r="AZ46" s="64"/>
      <c r="BA46" s="64"/>
      <c r="BB46" s="68"/>
      <c r="BC46" s="68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</row>
    <row r="47" spans="2:162" s="60" customFormat="1" ht="12.75" customHeight="1">
      <c r="B47" s="63"/>
      <c r="C47" s="6" t="s">
        <v>206</v>
      </c>
      <c r="D47" s="65"/>
      <c r="F47" s="65"/>
      <c r="G47" s="64"/>
      <c r="H47" s="64"/>
      <c r="I47" s="6" t="s">
        <v>206</v>
      </c>
      <c r="J47" s="64"/>
      <c r="K47" s="65"/>
      <c r="L47" s="64"/>
      <c r="M47" s="65"/>
      <c r="N47" s="64"/>
      <c r="O47" s="64"/>
      <c r="P47" s="6" t="s">
        <v>206</v>
      </c>
      <c r="Q47" s="65"/>
      <c r="R47" s="65"/>
      <c r="S47" s="65"/>
      <c r="T47" s="67"/>
      <c r="U47" s="64"/>
      <c r="V47" s="6" t="s">
        <v>206</v>
      </c>
      <c r="W47" s="64"/>
      <c r="X47" s="65"/>
      <c r="Y47" s="64"/>
      <c r="Z47" s="65"/>
      <c r="AB47" s="65"/>
      <c r="AC47" s="6" t="s">
        <v>206</v>
      </c>
      <c r="AD47" s="65"/>
      <c r="AE47" s="65"/>
      <c r="AF47" s="64"/>
      <c r="AG47" s="65"/>
      <c r="AH47" s="64"/>
      <c r="AI47" s="65"/>
      <c r="AJ47" s="6" t="s">
        <v>206</v>
      </c>
      <c r="AK47" s="64"/>
      <c r="AL47" s="65"/>
      <c r="AN47" s="65"/>
      <c r="AO47" s="65"/>
      <c r="AP47" s="65"/>
      <c r="AQ47" s="6" t="s">
        <v>206</v>
      </c>
      <c r="AR47" s="65"/>
      <c r="AS47" s="64"/>
      <c r="AT47" s="64"/>
      <c r="AU47" s="65"/>
      <c r="AV47" s="6"/>
      <c r="AW47" s="64"/>
      <c r="AX47" s="6" t="s">
        <v>206</v>
      </c>
      <c r="AZ47" s="64"/>
      <c r="BA47" s="64"/>
      <c r="BB47" s="68"/>
      <c r="BC47" s="68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</row>
    <row r="48" spans="2:162" s="60" customFormat="1" ht="12.75" customHeight="1">
      <c r="B48" s="63"/>
      <c r="C48" s="6" t="s">
        <v>207</v>
      </c>
      <c r="D48" s="65"/>
      <c r="F48" s="4"/>
      <c r="G48" s="64"/>
      <c r="H48" s="4"/>
      <c r="I48" s="6" t="s">
        <v>207</v>
      </c>
      <c r="J48" s="65"/>
      <c r="K48" s="4"/>
      <c r="L48" s="64"/>
      <c r="M48" s="4"/>
      <c r="N48" s="64"/>
      <c r="P48" s="6" t="s">
        <v>207</v>
      </c>
      <c r="Q48" s="4"/>
      <c r="R48" s="4"/>
      <c r="S48" s="4"/>
      <c r="V48" s="6" t="s">
        <v>207</v>
      </c>
      <c r="Y48" s="64"/>
      <c r="Z48" s="4"/>
      <c r="AB48" s="65"/>
      <c r="AC48" s="6" t="s">
        <v>207</v>
      </c>
      <c r="AD48" s="4"/>
      <c r="AE48" s="4"/>
      <c r="AH48" s="4"/>
      <c r="AJ48" s="6" t="s">
        <v>207</v>
      </c>
      <c r="AL48" s="65"/>
      <c r="AM48" s="4"/>
      <c r="AN48" s="4"/>
      <c r="AO48" s="4"/>
      <c r="AP48" s="65"/>
      <c r="AQ48" s="6" t="s">
        <v>207</v>
      </c>
      <c r="AR48" s="4"/>
      <c r="AS48" s="4"/>
      <c r="AU48" s="65"/>
      <c r="AV48" s="6"/>
      <c r="AW48" s="4"/>
      <c r="AX48" s="6" t="s">
        <v>207</v>
      </c>
      <c r="BA48" s="64"/>
      <c r="BB48" s="68"/>
      <c r="BC48" s="68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</row>
    <row r="49" spans="2:162" s="60" customFormat="1" ht="12.75" customHeight="1">
      <c r="B49" s="63"/>
      <c r="C49" s="6" t="s">
        <v>208</v>
      </c>
      <c r="D49" s="65"/>
      <c r="F49" s="6"/>
      <c r="G49" s="64"/>
      <c r="H49" s="6"/>
      <c r="I49" s="6" t="s">
        <v>208</v>
      </c>
      <c r="J49" s="65"/>
      <c r="K49" s="6"/>
      <c r="L49" s="64"/>
      <c r="M49" s="6"/>
      <c r="N49" s="64"/>
      <c r="P49" s="6" t="s">
        <v>208</v>
      </c>
      <c r="Q49" s="6"/>
      <c r="R49" s="6"/>
      <c r="S49" s="6"/>
      <c r="V49" s="6" t="s">
        <v>208</v>
      </c>
      <c r="Y49" s="64"/>
      <c r="Z49" s="6"/>
      <c r="AB49" s="65"/>
      <c r="AC49" s="6" t="s">
        <v>208</v>
      </c>
      <c r="AD49" s="6"/>
      <c r="AE49" s="6"/>
      <c r="AH49" s="6"/>
      <c r="AJ49" s="6" t="s">
        <v>208</v>
      </c>
      <c r="AL49" s="65"/>
      <c r="AM49" s="6"/>
      <c r="AN49" s="6"/>
      <c r="AO49" s="6"/>
      <c r="AP49" s="65"/>
      <c r="AQ49" s="6" t="s">
        <v>208</v>
      </c>
      <c r="AR49" s="6"/>
      <c r="AS49" s="6"/>
      <c r="AU49" s="65"/>
      <c r="AV49" s="6"/>
      <c r="AW49" s="6"/>
      <c r="AX49" s="6" t="s">
        <v>208</v>
      </c>
      <c r="BA49" s="64"/>
      <c r="BB49" s="68"/>
      <c r="BC49" s="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</row>
    <row r="50" spans="2:162" s="60" customFormat="1" ht="12.75" customHeight="1">
      <c r="B50" s="63"/>
      <c r="C50" s="6" t="s">
        <v>209</v>
      </c>
      <c r="D50" s="65"/>
      <c r="F50" s="6"/>
      <c r="G50" s="64"/>
      <c r="H50" s="6"/>
      <c r="I50" s="6" t="s">
        <v>209</v>
      </c>
      <c r="J50" s="65"/>
      <c r="K50" s="6"/>
      <c r="L50" s="64"/>
      <c r="M50" s="6"/>
      <c r="N50" s="64"/>
      <c r="P50" s="6" t="s">
        <v>209</v>
      </c>
      <c r="Q50" s="6"/>
      <c r="R50" s="6"/>
      <c r="S50" s="6"/>
      <c r="V50" s="6" t="s">
        <v>209</v>
      </c>
      <c r="Y50" s="64"/>
      <c r="Z50" s="6"/>
      <c r="AB50" s="65"/>
      <c r="AC50" s="6" t="s">
        <v>209</v>
      </c>
      <c r="AD50" s="6"/>
      <c r="AE50" s="6"/>
      <c r="AH50" s="6"/>
      <c r="AJ50" s="6" t="s">
        <v>209</v>
      </c>
      <c r="AL50" s="65"/>
      <c r="AM50" s="6"/>
      <c r="AN50" s="6"/>
      <c r="AO50" s="6"/>
      <c r="AP50" s="65"/>
      <c r="AQ50" s="6" t="s">
        <v>209</v>
      </c>
      <c r="AR50" s="6"/>
      <c r="AS50" s="6"/>
      <c r="AU50" s="65"/>
      <c r="AV50" s="6"/>
      <c r="AW50" s="6"/>
      <c r="AX50" s="6" t="s">
        <v>209</v>
      </c>
      <c r="BA50" s="64"/>
      <c r="BB50" s="68"/>
      <c r="BC50" s="6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</row>
    <row r="51" spans="2:162" s="60" customFormat="1" ht="12.75" customHeight="1">
      <c r="B51" s="63"/>
      <c r="C51" s="6" t="s">
        <v>210</v>
      </c>
      <c r="D51" s="65"/>
      <c r="F51" s="6"/>
      <c r="G51" s="64"/>
      <c r="H51" s="6"/>
      <c r="I51" s="6" t="s">
        <v>210</v>
      </c>
      <c r="J51" s="65"/>
      <c r="K51" s="6"/>
      <c r="L51" s="64"/>
      <c r="M51" s="6"/>
      <c r="N51" s="64"/>
      <c r="P51" s="6" t="s">
        <v>210</v>
      </c>
      <c r="Q51" s="6"/>
      <c r="R51" s="6"/>
      <c r="S51" s="6"/>
      <c r="V51" s="6" t="s">
        <v>210</v>
      </c>
      <c r="Y51" s="64"/>
      <c r="Z51" s="6"/>
      <c r="AB51" s="65"/>
      <c r="AC51" s="6" t="s">
        <v>210</v>
      </c>
      <c r="AD51" s="6"/>
      <c r="AE51" s="6"/>
      <c r="AH51" s="6"/>
      <c r="AJ51" s="6" t="s">
        <v>210</v>
      </c>
      <c r="AL51" s="65"/>
      <c r="AM51" s="6"/>
      <c r="AN51" s="6"/>
      <c r="AO51" s="6"/>
      <c r="AP51" s="65"/>
      <c r="AQ51" s="6" t="s">
        <v>210</v>
      </c>
      <c r="AR51" s="6"/>
      <c r="AS51" s="6"/>
      <c r="AU51" s="65"/>
      <c r="AV51" s="6"/>
      <c r="AW51" s="6"/>
      <c r="AX51" s="6" t="s">
        <v>210</v>
      </c>
      <c r="BA51" s="64"/>
      <c r="BB51" s="68"/>
      <c r="BC51" s="6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</row>
    <row r="52" spans="2:162" s="60" customFormat="1" ht="12.75" customHeight="1">
      <c r="B52" s="63"/>
      <c r="C52" s="6" t="s">
        <v>211</v>
      </c>
      <c r="D52" s="65"/>
      <c r="F52" s="6"/>
      <c r="G52" s="64"/>
      <c r="H52" s="6"/>
      <c r="I52" s="6" t="s">
        <v>211</v>
      </c>
      <c r="J52" s="65"/>
      <c r="K52" s="6"/>
      <c r="L52" s="64"/>
      <c r="M52" s="6"/>
      <c r="N52" s="64"/>
      <c r="P52" s="6" t="s">
        <v>211</v>
      </c>
      <c r="Q52" s="6"/>
      <c r="R52" s="6"/>
      <c r="S52" s="6"/>
      <c r="V52" s="6" t="s">
        <v>211</v>
      </c>
      <c r="Y52" s="64"/>
      <c r="Z52" s="6"/>
      <c r="AB52" s="65"/>
      <c r="AC52" s="6" t="s">
        <v>211</v>
      </c>
      <c r="AD52" s="6"/>
      <c r="AE52" s="6"/>
      <c r="AH52" s="6"/>
      <c r="AJ52" s="6" t="s">
        <v>211</v>
      </c>
      <c r="AL52" s="65"/>
      <c r="AM52" s="6"/>
      <c r="AN52" s="6"/>
      <c r="AO52" s="6"/>
      <c r="AP52" s="65"/>
      <c r="AQ52" s="6" t="s">
        <v>211</v>
      </c>
      <c r="AR52" s="6"/>
      <c r="AS52" s="6"/>
      <c r="AU52" s="65"/>
      <c r="AV52" s="6"/>
      <c r="AW52" s="6"/>
      <c r="AX52" s="6" t="s">
        <v>211</v>
      </c>
      <c r="BA52" s="64"/>
      <c r="BB52" s="68"/>
      <c r="BC52" s="6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</row>
    <row r="53" spans="2:162" s="60" customFormat="1" ht="12.75" customHeight="1">
      <c r="B53" s="63"/>
      <c r="C53" s="6" t="s">
        <v>212</v>
      </c>
      <c r="D53" s="65"/>
      <c r="F53" s="6"/>
      <c r="G53" s="64"/>
      <c r="H53" s="6"/>
      <c r="I53" s="6" t="s">
        <v>212</v>
      </c>
      <c r="J53" s="65"/>
      <c r="K53" s="6"/>
      <c r="L53" s="64"/>
      <c r="M53" s="6"/>
      <c r="N53" s="64"/>
      <c r="P53" s="6" t="s">
        <v>212</v>
      </c>
      <c r="Q53" s="6"/>
      <c r="R53" s="6"/>
      <c r="S53" s="6"/>
      <c r="V53" s="6" t="s">
        <v>212</v>
      </c>
      <c r="Y53" s="64"/>
      <c r="Z53" s="6"/>
      <c r="AB53" s="65"/>
      <c r="AC53" s="6" t="s">
        <v>212</v>
      </c>
      <c r="AD53" s="6"/>
      <c r="AE53" s="6"/>
      <c r="AH53" s="6"/>
      <c r="AJ53" s="6" t="s">
        <v>212</v>
      </c>
      <c r="AL53" s="65"/>
      <c r="AM53" s="6"/>
      <c r="AN53" s="6"/>
      <c r="AO53" s="6"/>
      <c r="AP53" s="65"/>
      <c r="AQ53" s="6" t="s">
        <v>212</v>
      </c>
      <c r="AR53" s="6"/>
      <c r="AS53" s="6"/>
      <c r="AU53" s="65"/>
      <c r="AV53" s="6"/>
      <c r="AW53" s="6"/>
      <c r="AX53" s="6" t="s">
        <v>212</v>
      </c>
      <c r="BA53" s="64"/>
      <c r="BB53" s="68"/>
      <c r="BC53" s="6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</row>
    <row r="54" spans="2:162" s="60" customFormat="1" ht="12.75" customHeight="1">
      <c r="B54" s="63"/>
      <c r="C54" s="6" t="s">
        <v>213</v>
      </c>
      <c r="D54" s="65"/>
      <c r="F54" s="6"/>
      <c r="G54" s="64"/>
      <c r="H54" s="6"/>
      <c r="I54" s="6" t="s">
        <v>213</v>
      </c>
      <c r="J54" s="65"/>
      <c r="K54" s="6"/>
      <c r="L54" s="64"/>
      <c r="M54" s="6"/>
      <c r="N54" s="64"/>
      <c r="P54" s="6" t="s">
        <v>213</v>
      </c>
      <c r="Q54" s="6"/>
      <c r="R54" s="6"/>
      <c r="S54" s="6"/>
      <c r="V54" s="6" t="s">
        <v>213</v>
      </c>
      <c r="Y54" s="64"/>
      <c r="Z54" s="6"/>
      <c r="AB54" s="65"/>
      <c r="AC54" s="6" t="s">
        <v>213</v>
      </c>
      <c r="AD54" s="6"/>
      <c r="AE54" s="6"/>
      <c r="AH54" s="6"/>
      <c r="AJ54" s="6" t="s">
        <v>213</v>
      </c>
      <c r="AL54" s="65"/>
      <c r="AM54" s="6"/>
      <c r="AN54" s="6"/>
      <c r="AO54" s="6"/>
      <c r="AP54" s="65"/>
      <c r="AQ54" s="6" t="s">
        <v>213</v>
      </c>
      <c r="AR54" s="6"/>
      <c r="AS54" s="6"/>
      <c r="AU54" s="65"/>
      <c r="AV54" s="6"/>
      <c r="AW54" s="6"/>
      <c r="AX54" s="6" t="s">
        <v>213</v>
      </c>
      <c r="BA54" s="64"/>
      <c r="BB54" s="68"/>
      <c r="BC54" s="6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</row>
    <row r="55" spans="2:162" s="60" customFormat="1" ht="12.75" customHeight="1">
      <c r="B55" s="63"/>
      <c r="C55" s="6" t="s">
        <v>214</v>
      </c>
      <c r="D55" s="65"/>
      <c r="F55" s="6"/>
      <c r="G55" s="64"/>
      <c r="H55" s="6"/>
      <c r="I55" s="6" t="s">
        <v>214</v>
      </c>
      <c r="J55" s="65"/>
      <c r="K55" s="6"/>
      <c r="L55" s="64"/>
      <c r="M55" s="6"/>
      <c r="N55" s="64"/>
      <c r="P55" s="6" t="s">
        <v>214</v>
      </c>
      <c r="Q55" s="6"/>
      <c r="R55" s="6"/>
      <c r="S55" s="6"/>
      <c r="V55" s="6" t="s">
        <v>214</v>
      </c>
      <c r="Y55" s="64"/>
      <c r="Z55" s="6"/>
      <c r="AB55" s="65"/>
      <c r="AC55" s="6" t="s">
        <v>214</v>
      </c>
      <c r="AD55" s="6"/>
      <c r="AE55" s="6"/>
      <c r="AH55" s="6"/>
      <c r="AJ55" s="6" t="s">
        <v>214</v>
      </c>
      <c r="AL55" s="65"/>
      <c r="AM55" s="6"/>
      <c r="AN55" s="6"/>
      <c r="AO55" s="6"/>
      <c r="AP55" s="65"/>
      <c r="AQ55" s="6" t="s">
        <v>214</v>
      </c>
      <c r="AR55" s="6"/>
      <c r="AS55" s="6"/>
      <c r="AU55" s="65"/>
      <c r="AV55" s="6"/>
      <c r="AW55" s="6"/>
      <c r="AX55" s="6" t="s">
        <v>214</v>
      </c>
      <c r="BA55" s="64"/>
      <c r="BB55" s="68"/>
      <c r="BC55" s="6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</row>
    <row r="56" spans="2:162" s="60" customFormat="1" ht="12.75" customHeight="1">
      <c r="B56" s="63"/>
      <c r="C56" s="6" t="s">
        <v>215</v>
      </c>
      <c r="D56" s="65"/>
      <c r="F56" s="6"/>
      <c r="G56" s="64"/>
      <c r="H56" s="6"/>
      <c r="I56" s="6" t="s">
        <v>215</v>
      </c>
      <c r="J56" s="65"/>
      <c r="K56" s="6"/>
      <c r="L56" s="64"/>
      <c r="M56" s="6"/>
      <c r="N56" s="64"/>
      <c r="P56" s="6" t="s">
        <v>215</v>
      </c>
      <c r="Q56" s="6"/>
      <c r="R56" s="6"/>
      <c r="S56" s="6"/>
      <c r="V56" s="6" t="s">
        <v>215</v>
      </c>
      <c r="Y56" s="64"/>
      <c r="Z56" s="6"/>
      <c r="AB56" s="65"/>
      <c r="AC56" s="6" t="s">
        <v>215</v>
      </c>
      <c r="AD56" s="6"/>
      <c r="AE56" s="6"/>
      <c r="AH56" s="6"/>
      <c r="AJ56" s="6" t="s">
        <v>215</v>
      </c>
      <c r="AL56" s="65"/>
      <c r="AM56" s="6"/>
      <c r="AN56" s="6"/>
      <c r="AO56" s="6"/>
      <c r="AP56" s="65"/>
      <c r="AQ56" s="6" t="s">
        <v>215</v>
      </c>
      <c r="AR56" s="6"/>
      <c r="AS56" s="6"/>
      <c r="AU56" s="65"/>
      <c r="AV56" s="6"/>
      <c r="AW56" s="6"/>
      <c r="AX56" s="6" t="s">
        <v>215</v>
      </c>
      <c r="BA56" s="64"/>
      <c r="BB56" s="68"/>
      <c r="BC56" s="6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</row>
    <row r="57" spans="2:162" s="60" customFormat="1" ht="12.75" customHeight="1">
      <c r="B57" s="63"/>
      <c r="C57" s="6" t="s">
        <v>216</v>
      </c>
      <c r="D57" s="65"/>
      <c r="F57" s="6"/>
      <c r="G57" s="64"/>
      <c r="H57" s="6"/>
      <c r="I57" s="6" t="s">
        <v>216</v>
      </c>
      <c r="J57" s="65"/>
      <c r="K57" s="6"/>
      <c r="L57" s="64"/>
      <c r="M57" s="6"/>
      <c r="N57" s="64"/>
      <c r="P57" s="6" t="s">
        <v>216</v>
      </c>
      <c r="Q57" s="6"/>
      <c r="R57" s="6"/>
      <c r="S57" s="6"/>
      <c r="V57" s="6" t="s">
        <v>216</v>
      </c>
      <c r="Y57" s="64"/>
      <c r="Z57" s="6"/>
      <c r="AB57" s="65"/>
      <c r="AC57" s="6" t="s">
        <v>216</v>
      </c>
      <c r="AD57" s="6"/>
      <c r="AE57" s="6"/>
      <c r="AH57" s="6"/>
      <c r="AJ57" s="6" t="s">
        <v>216</v>
      </c>
      <c r="AL57" s="65"/>
      <c r="AM57" s="6"/>
      <c r="AN57" s="6"/>
      <c r="AO57" s="6"/>
      <c r="AP57" s="65"/>
      <c r="AQ57" s="6" t="s">
        <v>216</v>
      </c>
      <c r="AR57" s="6"/>
      <c r="AS57" s="6"/>
      <c r="AU57" s="65"/>
      <c r="AV57" s="6"/>
      <c r="AW57" s="6"/>
      <c r="AX57" s="6" t="s">
        <v>216</v>
      </c>
      <c r="BA57" s="64"/>
      <c r="BB57" s="68"/>
      <c r="BC57" s="6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</row>
    <row r="58" spans="2:162" s="60" customFormat="1" ht="12.75" customHeight="1">
      <c r="B58" s="28"/>
      <c r="C58" s="6" t="s">
        <v>217</v>
      </c>
      <c r="D58" s="65"/>
      <c r="F58" s="6"/>
      <c r="G58" s="64"/>
      <c r="H58" s="6"/>
      <c r="I58" s="6" t="s">
        <v>217</v>
      </c>
      <c r="J58" s="65"/>
      <c r="K58" s="6"/>
      <c r="L58" s="64"/>
      <c r="M58" s="6"/>
      <c r="N58" s="64"/>
      <c r="P58" s="6" t="s">
        <v>217</v>
      </c>
      <c r="Q58" s="6"/>
      <c r="R58" s="6"/>
      <c r="S58" s="6"/>
      <c r="V58" s="6" t="s">
        <v>217</v>
      </c>
      <c r="Y58" s="64"/>
      <c r="Z58" s="6"/>
      <c r="AB58" s="65"/>
      <c r="AC58" s="6" t="s">
        <v>217</v>
      </c>
      <c r="AD58" s="6"/>
      <c r="AE58" s="6"/>
      <c r="AH58" s="6"/>
      <c r="AJ58" s="6" t="s">
        <v>217</v>
      </c>
      <c r="AL58" s="65"/>
      <c r="AM58" s="6"/>
      <c r="AN58" s="6"/>
      <c r="AO58" s="6"/>
      <c r="AP58" s="65"/>
      <c r="AQ58" s="6" t="s">
        <v>217</v>
      </c>
      <c r="AR58" s="6"/>
      <c r="AS58" s="6"/>
      <c r="AU58" s="65"/>
      <c r="AV58" s="6"/>
      <c r="AW58" s="6"/>
      <c r="AX58" s="6" t="s">
        <v>217</v>
      </c>
      <c r="BA58" s="64"/>
      <c r="BB58" s="68"/>
      <c r="BC58" s="6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</row>
    <row r="59" spans="1:162" s="60" customFormat="1" ht="12" customHeight="1">
      <c r="A59" s="69"/>
      <c r="B59" s="70"/>
      <c r="C59" s="6"/>
      <c r="D59" s="65"/>
      <c r="F59" s="6"/>
      <c r="G59" s="64"/>
      <c r="H59" s="6"/>
      <c r="I59" s="6"/>
      <c r="J59" s="65"/>
      <c r="K59" s="6"/>
      <c r="L59" s="64"/>
      <c r="M59" s="6"/>
      <c r="N59" s="64"/>
      <c r="Q59" s="6"/>
      <c r="R59" s="6"/>
      <c r="S59" s="6"/>
      <c r="V59" s="6"/>
      <c r="Y59" s="64"/>
      <c r="Z59" s="6"/>
      <c r="AB59" s="65"/>
      <c r="AC59" s="64"/>
      <c r="AD59" s="6"/>
      <c r="AE59" s="6"/>
      <c r="AH59" s="6"/>
      <c r="AJ59" s="65"/>
      <c r="AL59" s="65"/>
      <c r="AM59" s="6"/>
      <c r="AN59" s="6"/>
      <c r="AO59" s="6"/>
      <c r="AP59" s="65"/>
      <c r="AQ59" s="6"/>
      <c r="AR59" s="6"/>
      <c r="AS59" s="6"/>
      <c r="AU59" s="65"/>
      <c r="AV59" s="64"/>
      <c r="AW59" s="6"/>
      <c r="AX59" s="65"/>
      <c r="AY59" s="6"/>
      <c r="BA59" s="64"/>
      <c r="BB59" s="68"/>
      <c r="BC59" s="6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</row>
    <row r="60" spans="1:55" s="11" customFormat="1" ht="12.75" customHeight="1">
      <c r="A60" s="3" t="s">
        <v>20</v>
      </c>
      <c r="B60" s="32"/>
      <c r="C60" s="12" t="s">
        <v>21</v>
      </c>
      <c r="D60" s="12" t="s">
        <v>22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21</v>
      </c>
      <c r="P60" s="12" t="s">
        <v>21</v>
      </c>
      <c r="Q60" s="12" t="s">
        <v>21</v>
      </c>
      <c r="R60" s="12" t="s">
        <v>21</v>
      </c>
      <c r="S60" s="12" t="s">
        <v>21</v>
      </c>
      <c r="T60" s="12" t="s">
        <v>21</v>
      </c>
      <c r="U60" s="12" t="s">
        <v>21</v>
      </c>
      <c r="V60" s="12" t="s">
        <v>21</v>
      </c>
      <c r="W60" s="12" t="s">
        <v>21</v>
      </c>
      <c r="X60" s="12" t="s">
        <v>21</v>
      </c>
      <c r="Y60" s="12" t="s">
        <v>22</v>
      </c>
      <c r="Z60" s="12" t="s">
        <v>21</v>
      </c>
      <c r="AA60" s="12" t="s">
        <v>21</v>
      </c>
      <c r="AB60" s="12" t="s">
        <v>21</v>
      </c>
      <c r="AC60" s="12" t="s">
        <v>22</v>
      </c>
      <c r="AD60" s="12" t="s">
        <v>21</v>
      </c>
      <c r="AE60" s="12" t="s">
        <v>22</v>
      </c>
      <c r="AF60" s="12" t="s">
        <v>21</v>
      </c>
      <c r="AG60" s="12" t="s">
        <v>21</v>
      </c>
      <c r="AH60" s="12" t="s">
        <v>22</v>
      </c>
      <c r="AI60" s="12" t="s">
        <v>21</v>
      </c>
      <c r="AJ60" s="12" t="s">
        <v>21</v>
      </c>
      <c r="AK60" s="12" t="s">
        <v>22</v>
      </c>
      <c r="AL60" s="12" t="s">
        <v>22</v>
      </c>
      <c r="AM60" s="12" t="s">
        <v>22</v>
      </c>
      <c r="AN60" s="12" t="s">
        <v>21</v>
      </c>
      <c r="AO60" s="12" t="s">
        <v>22</v>
      </c>
      <c r="AP60" s="12" t="s">
        <v>22</v>
      </c>
      <c r="AQ60" s="12" t="s">
        <v>21</v>
      </c>
      <c r="AR60" s="12" t="s">
        <v>21</v>
      </c>
      <c r="AS60" s="12" t="s">
        <v>21</v>
      </c>
      <c r="AT60" s="12" t="s">
        <v>21</v>
      </c>
      <c r="AU60" s="12" t="s">
        <v>22</v>
      </c>
      <c r="AV60" s="12" t="s">
        <v>22</v>
      </c>
      <c r="AW60" s="12" t="s">
        <v>22</v>
      </c>
      <c r="AX60" s="12" t="s">
        <v>22</v>
      </c>
      <c r="AY60" s="10"/>
      <c r="AZ60" s="1">
        <f>COUNTIF(C60:AX60,"já")+COUNTIF(C60:AX60,"nei")</f>
        <v>48</v>
      </c>
      <c r="BA60" s="1"/>
      <c r="BB60" s="1">
        <f>COUNTIF(C60:AX60,"já")</f>
        <v>14</v>
      </c>
      <c r="BC60" s="1">
        <f>COUNTIF(C60:AX60,"nei")</f>
        <v>34</v>
      </c>
    </row>
    <row r="61" spans="1:241" ht="12.75" customHeight="1" thickBot="1">
      <c r="A61" s="116"/>
      <c r="B61" s="112"/>
      <c r="C61" s="111"/>
      <c r="D61" s="117"/>
      <c r="E61" s="111"/>
      <c r="F61" s="111"/>
      <c r="G61" s="119"/>
      <c r="H61" s="111"/>
      <c r="I61" s="111"/>
      <c r="J61" s="117"/>
      <c r="K61" s="111"/>
      <c r="L61" s="119"/>
      <c r="M61" s="111"/>
      <c r="N61" s="119"/>
      <c r="O61" s="118"/>
      <c r="P61" s="118"/>
      <c r="Q61" s="111"/>
      <c r="R61" s="111"/>
      <c r="S61" s="111"/>
      <c r="T61" s="118"/>
      <c r="U61" s="118"/>
      <c r="V61" s="111"/>
      <c r="W61" s="118"/>
      <c r="X61" s="118"/>
      <c r="Y61" s="119"/>
      <c r="Z61" s="111"/>
      <c r="AA61" s="118"/>
      <c r="AB61" s="117"/>
      <c r="AC61" s="119"/>
      <c r="AD61" s="111"/>
      <c r="AE61" s="111"/>
      <c r="AF61" s="118"/>
      <c r="AG61" s="118"/>
      <c r="AH61" s="111"/>
      <c r="AI61" s="118"/>
      <c r="AJ61" s="117"/>
      <c r="AK61" s="118"/>
      <c r="AL61" s="117"/>
      <c r="AM61" s="111"/>
      <c r="AN61" s="111"/>
      <c r="AO61" s="111"/>
      <c r="AP61" s="117"/>
      <c r="AQ61" s="111"/>
      <c r="AR61" s="111"/>
      <c r="AS61" s="111"/>
      <c r="AT61" s="118"/>
      <c r="AU61" s="117"/>
      <c r="AV61" s="119"/>
      <c r="AW61" s="111"/>
      <c r="AX61" s="117"/>
      <c r="AY61" s="111"/>
      <c r="AZ61" s="118"/>
      <c r="BA61" s="119"/>
      <c r="BB61" s="120"/>
      <c r="BC61" s="111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</row>
    <row r="62" spans="1:241" ht="12.75" customHeight="1">
      <c r="A62" s="14" t="s">
        <v>218</v>
      </c>
      <c r="B62" s="28"/>
      <c r="C62" s="6"/>
      <c r="D62" s="65"/>
      <c r="E62" s="6"/>
      <c r="F62" s="6"/>
      <c r="G62" s="64"/>
      <c r="H62" s="6"/>
      <c r="I62" s="6"/>
      <c r="J62" s="65"/>
      <c r="K62" s="6"/>
      <c r="L62" s="64"/>
      <c r="M62" s="6"/>
      <c r="N62" s="64"/>
      <c r="O62" s="60"/>
      <c r="P62" s="60"/>
      <c r="Q62" s="6"/>
      <c r="R62" s="6"/>
      <c r="S62" s="6"/>
      <c r="T62" s="60"/>
      <c r="U62" s="60"/>
      <c r="V62" s="6"/>
      <c r="W62" s="60"/>
      <c r="X62" s="60"/>
      <c r="Y62" s="64"/>
      <c r="Z62" s="6"/>
      <c r="AA62" s="60"/>
      <c r="AB62" s="65"/>
      <c r="AC62" s="64"/>
      <c r="AD62" s="6"/>
      <c r="AE62" s="6"/>
      <c r="AF62" s="60"/>
      <c r="AG62" s="60"/>
      <c r="AH62" s="6"/>
      <c r="AI62" s="60"/>
      <c r="AJ62" s="65"/>
      <c r="AK62" s="60"/>
      <c r="AL62" s="65"/>
      <c r="AM62" s="6"/>
      <c r="AN62" s="6"/>
      <c r="AO62" s="6"/>
      <c r="AP62" s="65"/>
      <c r="AQ62" s="6"/>
      <c r="AR62" s="6"/>
      <c r="AS62" s="6"/>
      <c r="AT62" s="60"/>
      <c r="AU62" s="65"/>
      <c r="AV62" s="64"/>
      <c r="AW62" s="6"/>
      <c r="AX62" s="65"/>
      <c r="AY62" s="6"/>
      <c r="AZ62" s="60"/>
      <c r="BA62" s="64"/>
      <c r="BB62" s="68"/>
      <c r="BC62" s="6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</row>
    <row r="63" spans="1:241" ht="12.75" customHeight="1">
      <c r="A63" s="14" t="s">
        <v>178</v>
      </c>
      <c r="B63" s="28"/>
      <c r="C63" s="6"/>
      <c r="D63" s="65"/>
      <c r="E63" s="6"/>
      <c r="F63" s="6"/>
      <c r="G63" s="64"/>
      <c r="H63" s="6"/>
      <c r="I63" s="6"/>
      <c r="J63" s="65"/>
      <c r="K63" s="6"/>
      <c r="L63" s="64"/>
      <c r="M63" s="6"/>
      <c r="N63" s="64"/>
      <c r="O63" s="60"/>
      <c r="P63" s="60"/>
      <c r="Q63" s="6"/>
      <c r="R63" s="6"/>
      <c r="S63" s="6"/>
      <c r="T63" s="60"/>
      <c r="U63" s="60"/>
      <c r="V63" s="6"/>
      <c r="W63" s="60"/>
      <c r="X63" s="60"/>
      <c r="Y63" s="64"/>
      <c r="Z63" s="6"/>
      <c r="AA63" s="60"/>
      <c r="AB63" s="65"/>
      <c r="AC63" s="64"/>
      <c r="AD63" s="6"/>
      <c r="AE63" s="6"/>
      <c r="AF63" s="60"/>
      <c r="AG63" s="60"/>
      <c r="AH63" s="6"/>
      <c r="AI63" s="60"/>
      <c r="AJ63" s="65"/>
      <c r="AK63" s="60"/>
      <c r="AL63" s="65"/>
      <c r="AM63" s="6"/>
      <c r="AN63" s="6"/>
      <c r="AO63" s="6"/>
      <c r="AP63" s="65"/>
      <c r="AQ63" s="6"/>
      <c r="AR63" s="6"/>
      <c r="AS63" s="6"/>
      <c r="AT63" s="60"/>
      <c r="AU63" s="65"/>
      <c r="AV63" s="64"/>
      <c r="AW63" s="6"/>
      <c r="AX63" s="65"/>
      <c r="AY63" s="6"/>
      <c r="AZ63" s="60"/>
      <c r="BA63" s="64"/>
      <c r="BB63" s="68"/>
      <c r="BC63" s="6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</row>
    <row r="64" spans="1:241" ht="12.75" customHeight="1">
      <c r="A64" s="6" t="s">
        <v>219</v>
      </c>
      <c r="B64" s="28"/>
      <c r="C64" s="89">
        <f>+'4.1. Samtryggingard.'!C32-'4.1. Samtryggingard.'!C40</f>
        <v>13528463</v>
      </c>
      <c r="D64" s="89">
        <f>+'4.1. Samtryggingard.'!D32-'4.1. Samtryggingard.'!D40</f>
        <v>29319501</v>
      </c>
      <c r="E64" s="89">
        <f>+'4.1. Samtryggingard.'!E32-'4.1. Samtryggingard.'!E40</f>
        <v>39289661</v>
      </c>
      <c r="F64" s="89">
        <f>+'4.1. Samtryggingard.'!F32-'4.1. Samtryggingard.'!F40</f>
        <v>30971345</v>
      </c>
      <c r="G64" s="89">
        <f>+'4.1. Samtryggingard.'!G32-'4.1. Samtryggingard.'!G40</f>
        <v>943247</v>
      </c>
      <c r="H64" s="89">
        <f>+'4.1. Samtryggingard.'!H32-'4.1. Samtryggingard.'!H40</f>
        <v>12991255</v>
      </c>
      <c r="I64" s="89">
        <f>+'4.1. Samtryggingard.'!I32-'4.1. Samtryggingard.'!I40</f>
        <v>3459458</v>
      </c>
      <c r="J64" s="89">
        <f>+'4.1. Samtryggingard.'!J32-'4.1. Samtryggingard.'!J40</f>
        <v>496522</v>
      </c>
      <c r="K64" s="89">
        <f>+'4.1. Samtryggingard.'!K32-'4.1. Samtryggingard.'!K40</f>
        <v>1215060</v>
      </c>
      <c r="L64" s="89">
        <f>+'4.1. Samtryggingard.'!L32-'4.1. Samtryggingard.'!L40</f>
        <v>10147518</v>
      </c>
      <c r="M64" s="89">
        <f>+'4.1. Samtryggingard.'!M32-'4.1. Samtryggingard.'!M40</f>
        <v>1901708</v>
      </c>
      <c r="N64" s="89">
        <f>+'4.1. Samtryggingard.'!N32-'4.1. Samtryggingard.'!N40</f>
        <v>7571358</v>
      </c>
      <c r="O64" s="89">
        <f>+'4.1. Samtryggingard.'!O32-'4.1. Samtryggingard.'!O40</f>
        <v>7719542</v>
      </c>
      <c r="P64" s="89">
        <f>+'4.1. Samtryggingard.'!P32-'4.1. Samtryggingard.'!P40</f>
        <v>7624134</v>
      </c>
      <c r="Q64" s="89">
        <f>+'4.1. Samtryggingard.'!Q32-'4.1. Samtryggingard.'!Q40</f>
        <v>2851156</v>
      </c>
      <c r="R64" s="89">
        <f>+'4.1. Samtryggingard.'!R32-'4.1. Samtryggingard.'!R40</f>
        <v>1435867</v>
      </c>
      <c r="S64" s="89">
        <f>+'4.1. Samtryggingard.'!S32-'4.1. Samtryggingard.'!S40</f>
        <v>3763122</v>
      </c>
      <c r="T64" s="89">
        <f>+'4.1. Samtryggingard.'!T32-'4.1. Samtryggingard.'!T40</f>
        <v>3729505</v>
      </c>
      <c r="U64" s="89">
        <f>+'4.1. Samtryggingard.'!U32-'4.1. Samtryggingard.'!U40</f>
        <v>3718143</v>
      </c>
      <c r="V64" s="89">
        <f>+'4.1. Samtryggingard.'!V32-'4.1. Samtryggingard.'!V40</f>
        <v>2493749</v>
      </c>
      <c r="W64" s="89">
        <f>+'4.1. Samtryggingard.'!W32-'4.1. Samtryggingard.'!W40</f>
        <v>234103</v>
      </c>
      <c r="X64" s="89">
        <f>+'4.1. Samtryggingard.'!X32-'4.1. Samtryggingard.'!X40</f>
        <v>332085</v>
      </c>
      <c r="Y64" s="89">
        <f>+'4.1. Samtryggingard.'!Y32-'4.1. Samtryggingard.'!Y40</f>
        <v>3519011</v>
      </c>
      <c r="Z64" s="89">
        <f>+'4.1. Samtryggingard.'!Z32-'4.1. Samtryggingard.'!Z40</f>
        <v>3673473</v>
      </c>
      <c r="AA64" s="89">
        <f>+'4.1. Samtryggingard.'!AA32-'4.1. Samtryggingard.'!AA40</f>
        <v>2965044</v>
      </c>
      <c r="AB64" s="89">
        <f>+'4.1. Samtryggingard.'!AB32-'4.1. Samtryggingard.'!AB40</f>
        <v>1959431</v>
      </c>
      <c r="AC64" s="89">
        <f>+'4.1. Samtryggingard.'!AC32-'4.1. Samtryggingard.'!AC40</f>
        <v>1334635</v>
      </c>
      <c r="AD64" s="89">
        <f>+'4.1. Samtryggingard.'!AD32-'4.1. Samtryggingard.'!AD40</f>
        <v>1460909</v>
      </c>
      <c r="AE64" s="89">
        <f>+'4.1. Samtryggingard.'!AE32-'4.1. Samtryggingard.'!AE40</f>
        <v>536166</v>
      </c>
      <c r="AF64" s="89">
        <f>+'4.1. Samtryggingard.'!AF32-'4.1. Samtryggingard.'!AF40</f>
        <v>483164</v>
      </c>
      <c r="AG64" s="89">
        <f>+'4.1. Samtryggingard.'!AG32-'4.1. Samtryggingard.'!AG40</f>
        <v>454323</v>
      </c>
      <c r="AH64" s="89">
        <f>+'4.1. Samtryggingard.'!AH32-'4.1. Samtryggingard.'!AH40</f>
        <v>16401</v>
      </c>
      <c r="AI64" s="89">
        <f>+'4.1. Samtryggingard.'!AI32-'4.1. Samtryggingard.'!AI40</f>
        <v>369424</v>
      </c>
      <c r="AJ64" s="89">
        <f>+'4.1. Samtryggingard.'!AJ32-'4.1. Samtryggingard.'!AJ40</f>
        <v>40715</v>
      </c>
      <c r="AK64" s="89">
        <f>+'4.1. Samtryggingard.'!AK32-'4.1. Samtryggingard.'!AK40</f>
        <v>339389</v>
      </c>
      <c r="AL64" s="89">
        <f>+'4.1. Samtryggingard.'!AL32-'4.1. Samtryggingard.'!AL40</f>
        <v>312748</v>
      </c>
      <c r="AM64" s="89">
        <f>+'4.1. Samtryggingard.'!AM32-'4.1. Samtryggingard.'!AM40</f>
        <v>352235</v>
      </c>
      <c r="AN64" s="89">
        <f>+'4.1. Samtryggingard.'!AN32-'4.1. Samtryggingard.'!AN40</f>
        <v>236397</v>
      </c>
      <c r="AO64" s="89">
        <f>+'4.1. Samtryggingard.'!AO32-'4.1. Samtryggingard.'!AO40</f>
        <v>157183</v>
      </c>
      <c r="AP64" s="89">
        <f>+'4.1. Samtryggingard.'!AP32-'4.1. Samtryggingard.'!AP40</f>
        <v>121102</v>
      </c>
      <c r="AQ64" s="89">
        <f>+'4.1. Samtryggingard.'!AQ32-'4.1. Samtryggingard.'!AQ40</f>
        <v>89422</v>
      </c>
      <c r="AR64" s="89">
        <f>+'4.1. Samtryggingard.'!AR32-'4.1. Samtryggingard.'!AR40</f>
        <v>86374</v>
      </c>
      <c r="AS64" s="89">
        <f>+'4.1. Samtryggingard.'!AS32-'4.1. Samtryggingard.'!AS40</f>
        <v>63070</v>
      </c>
      <c r="AT64" s="89">
        <f>+'4.1. Samtryggingard.'!AT32-'4.1. Samtryggingard.'!AT40</f>
        <v>55070</v>
      </c>
      <c r="AU64" s="89">
        <f>+'4.1. Samtryggingard.'!AU32-'4.1. Samtryggingard.'!AU40</f>
        <v>44880</v>
      </c>
      <c r="AV64" s="89">
        <f>+'4.1. Samtryggingard.'!AV32-'4.1. Samtryggingard.'!AV40</f>
        <v>24197</v>
      </c>
      <c r="AW64" s="89">
        <f>+'4.1. Samtryggingard.'!AW32-'4.1. Samtryggingard.'!AW40</f>
        <v>3888</v>
      </c>
      <c r="AX64" s="89">
        <f>+'4.1. Samtryggingard.'!AX32-'4.1. Samtryggingard.'!AX40</f>
        <v>4422</v>
      </c>
      <c r="AY64" s="89"/>
      <c r="AZ64" s="89">
        <f>+'4.1. Samtryggingard.'!AZ32-'4.1. Samtryggingard.'!AZ40</f>
        <v>204439575</v>
      </c>
      <c r="BA64" s="89"/>
      <c r="BB64" s="89"/>
      <c r="BC64" s="89">
        <f>+'4.1. Samtryggingard.'!BC32-'4.1. Samtryggingard.'!BC40</f>
        <v>168353817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</row>
    <row r="65" spans="1:55" ht="12.75" customHeight="1">
      <c r="A65" s="6" t="s">
        <v>220</v>
      </c>
      <c r="B65" s="28"/>
      <c r="C65" s="71">
        <f>+'4.1. Samtryggingard.'!C45+'4.1. Samtryggingard.'!C49-'4.1. Samtryggingard.'!C47</f>
        <v>52653</v>
      </c>
      <c r="D65" s="71">
        <f>+'4.1. Samtryggingard.'!D45+'4.1. Samtryggingard.'!D49-'4.1. Samtryggingard.'!D47</f>
        <v>177286</v>
      </c>
      <c r="E65" s="71">
        <f>+'4.1. Samtryggingard.'!E45+'4.1. Samtryggingard.'!E49-'4.1. Samtryggingard.'!E47</f>
        <v>185734</v>
      </c>
      <c r="F65" s="71">
        <f>+'4.1. Samtryggingard.'!F45+'4.1. Samtryggingard.'!F49-'4.1. Samtryggingard.'!F47</f>
        <v>218811</v>
      </c>
      <c r="G65" s="71">
        <f>+'4.1. Samtryggingard.'!G45+'4.1. Samtryggingard.'!G49-'4.1. Samtryggingard.'!G47</f>
        <v>7695</v>
      </c>
      <c r="H65" s="71">
        <f>+'4.1. Samtryggingard.'!H45+'4.1. Samtryggingard.'!H49-'4.1. Samtryggingard.'!H47</f>
        <v>89318</v>
      </c>
      <c r="I65" s="71">
        <f>+'4.1. Samtryggingard.'!I45+'4.1. Samtryggingard.'!I49-'4.1. Samtryggingard.'!I47</f>
        <v>23619</v>
      </c>
      <c r="J65" s="71">
        <f>+'4.1. Samtryggingard.'!J45+'4.1. Samtryggingard.'!J49-'4.1. Samtryggingard.'!J47</f>
        <v>4515</v>
      </c>
      <c r="K65" s="71">
        <f>+'4.1. Samtryggingard.'!K45+'4.1. Samtryggingard.'!K49-'4.1. Samtryggingard.'!K47</f>
        <v>8832</v>
      </c>
      <c r="L65" s="71">
        <f>+'4.1. Samtryggingard.'!L45+'4.1. Samtryggingard.'!L49-'4.1. Samtryggingard.'!L47</f>
        <v>100554</v>
      </c>
      <c r="M65" s="71">
        <f>+'4.1. Samtryggingard.'!M45+'4.1. Samtryggingard.'!M49-'4.1. Samtryggingard.'!M47</f>
        <v>21312</v>
      </c>
      <c r="N65" s="71">
        <f>+'4.1. Samtryggingard.'!N45+'4.1. Samtryggingard.'!N49-'4.1. Samtryggingard.'!N47</f>
        <v>61351</v>
      </c>
      <c r="O65" s="71">
        <f>+'4.1. Samtryggingard.'!O45+'4.1. Samtryggingard.'!O49-'4.1. Samtryggingard.'!O47</f>
        <v>59269</v>
      </c>
      <c r="P65" s="71">
        <f>+'4.1. Samtryggingard.'!P45+'4.1. Samtryggingard.'!P49-'4.1. Samtryggingard.'!P47</f>
        <v>81120</v>
      </c>
      <c r="Q65" s="71">
        <f>+'4.1. Samtryggingard.'!Q45+'4.1. Samtryggingard.'!Q49-'4.1. Samtryggingard.'!Q47</f>
        <v>34404</v>
      </c>
      <c r="R65" s="71">
        <f>+'4.1. Samtryggingard.'!R45+'4.1. Samtryggingard.'!R49-'4.1. Samtryggingard.'!R47</f>
        <v>13260</v>
      </c>
      <c r="S65" s="71">
        <f>+'4.1. Samtryggingard.'!S45+'4.1. Samtryggingard.'!S49-'4.1. Samtryggingard.'!S47</f>
        <v>28394</v>
      </c>
      <c r="T65" s="71">
        <f>+'4.1. Samtryggingard.'!T45+'4.1. Samtryggingard.'!T49-'4.1. Samtryggingard.'!T47</f>
        <v>44878</v>
      </c>
      <c r="U65" s="71">
        <f>+'4.1. Samtryggingard.'!U45+'4.1. Samtryggingard.'!U49-'4.1. Samtryggingard.'!U47</f>
        <v>49958</v>
      </c>
      <c r="V65" s="71">
        <f>+'4.1. Samtryggingard.'!V45+'4.1. Samtryggingard.'!V49-'4.1. Samtryggingard.'!V47</f>
        <v>43880</v>
      </c>
      <c r="W65" s="71">
        <f>+'4.1. Samtryggingard.'!W45+'4.1. Samtryggingard.'!W49-'4.1. Samtryggingard.'!W47</f>
        <v>4119</v>
      </c>
      <c r="X65" s="71">
        <f>+'4.1. Samtryggingard.'!X45+'4.1. Samtryggingard.'!X49-'4.1. Samtryggingard.'!X47</f>
        <v>7220</v>
      </c>
      <c r="Y65" s="71">
        <f>+'4.1. Samtryggingard.'!Y45+'4.1. Samtryggingard.'!Y49-'4.1. Samtryggingard.'!Y47</f>
        <v>20973</v>
      </c>
      <c r="Z65" s="71">
        <f>+'4.1. Samtryggingard.'!Z45+'4.1. Samtryggingard.'!Z49-'4.1. Samtryggingard.'!Z47</f>
        <v>26933</v>
      </c>
      <c r="AA65" s="71">
        <f>+'4.1. Samtryggingard.'!AA45+'4.1. Samtryggingard.'!AA49-'4.1. Samtryggingard.'!AA47</f>
        <v>34516</v>
      </c>
      <c r="AB65" s="71">
        <f>+'4.1. Samtryggingard.'!AB45+'4.1. Samtryggingard.'!AB49-'4.1. Samtryggingard.'!AB47</f>
        <v>10718</v>
      </c>
      <c r="AC65" s="71">
        <f>+'4.1. Samtryggingard.'!AC45+'4.1. Samtryggingard.'!AC49-'4.1. Samtryggingard.'!AC47</f>
        <v>46786</v>
      </c>
      <c r="AD65" s="71">
        <f>+'4.1. Samtryggingard.'!AD45+'4.1. Samtryggingard.'!AD49-'4.1. Samtryggingard.'!AD47</f>
        <v>0</v>
      </c>
      <c r="AE65" s="71">
        <f>+'4.1. Samtryggingard.'!AE45+'4.1. Samtryggingard.'!AE49-'4.1. Samtryggingard.'!AE47</f>
        <v>5786</v>
      </c>
      <c r="AF65" s="71">
        <f>+'4.1. Samtryggingard.'!AF45+'4.1. Samtryggingard.'!AF49-'4.1. Samtryggingard.'!AF47</f>
        <v>5685</v>
      </c>
      <c r="AG65" s="71">
        <f>+'4.1. Samtryggingard.'!AG45+'4.1. Samtryggingard.'!AG49-'4.1. Samtryggingard.'!AG47</f>
        <v>5944</v>
      </c>
      <c r="AH65" s="71">
        <f>+'4.1. Samtryggingard.'!AH45+'4.1. Samtryggingard.'!AH49-'4.1. Samtryggingard.'!AH47</f>
        <v>556</v>
      </c>
      <c r="AI65" s="71">
        <f>+'4.1. Samtryggingard.'!AI45+'4.1. Samtryggingard.'!AI49-'4.1. Samtryggingard.'!AI47</f>
        <v>913</v>
      </c>
      <c r="AJ65" s="71">
        <f>+'4.1. Samtryggingard.'!AJ45+'4.1. Samtryggingard.'!AJ49-'4.1. Samtryggingard.'!AJ47</f>
        <v>716</v>
      </c>
      <c r="AK65" s="71">
        <f>+'4.1. Samtryggingard.'!AK45+'4.1. Samtryggingard.'!AK49-'4.1. Samtryggingard.'!AK47</f>
        <v>5567</v>
      </c>
      <c r="AL65" s="71">
        <f>+'4.1. Samtryggingard.'!AL45+'4.1. Samtryggingard.'!AL49-'4.1. Samtryggingard.'!AL47</f>
        <v>6882</v>
      </c>
      <c r="AM65" s="71">
        <f>+'4.1. Samtryggingard.'!AM45+'4.1. Samtryggingard.'!AM49-'4.1. Samtryggingard.'!AM47</f>
        <v>9257</v>
      </c>
      <c r="AN65" s="71">
        <f>+'4.1. Samtryggingard.'!AN45+'4.1. Samtryggingard.'!AN49-'4.1. Samtryggingard.'!AN47</f>
        <v>2374</v>
      </c>
      <c r="AO65" s="71">
        <f>+'4.1. Samtryggingard.'!AO45+'4.1. Samtryggingard.'!AO49-'4.1. Samtryggingard.'!AO47</f>
        <v>1443</v>
      </c>
      <c r="AP65" s="71">
        <f>+'4.1. Samtryggingard.'!AP45+'4.1. Samtryggingard.'!AP49-'4.1. Samtryggingard.'!AP47</f>
        <v>2962</v>
      </c>
      <c r="AQ65" s="71">
        <f>+'4.1. Samtryggingard.'!AQ45+'4.1. Samtryggingard.'!AQ49-'4.1. Samtryggingard.'!AQ47</f>
        <v>994</v>
      </c>
      <c r="AR65" s="71">
        <f>+'4.1. Samtryggingard.'!AR45+'4.1. Samtryggingard.'!AR49-'4.1. Samtryggingard.'!AR47</f>
        <v>2093</v>
      </c>
      <c r="AS65" s="71">
        <f>+'4.1. Samtryggingard.'!AS45+'4.1. Samtryggingard.'!AS49-'4.1. Samtryggingard.'!AS47</f>
        <v>1751</v>
      </c>
      <c r="AT65" s="71">
        <f>+'4.1. Samtryggingard.'!AT45+'4.1. Samtryggingard.'!AT49-'4.1. Samtryggingard.'!AT47</f>
        <v>810</v>
      </c>
      <c r="AU65" s="71">
        <f>+'4.1. Samtryggingard.'!AU45+'4.1. Samtryggingard.'!AU49-'4.1. Samtryggingard.'!AU47</f>
        <v>2748</v>
      </c>
      <c r="AV65" s="71">
        <f>+'4.1. Samtryggingard.'!AV45+'4.1. Samtryggingard.'!AV49-'4.1. Samtryggingard.'!AV47</f>
        <v>1641</v>
      </c>
      <c r="AW65" s="71">
        <f>+'4.1. Samtryggingard.'!AW45+'4.1. Samtryggingard.'!AW49-'4.1. Samtryggingard.'!AW47</f>
        <v>720</v>
      </c>
      <c r="AX65" s="71">
        <f>+'4.1. Samtryggingard.'!AX45+'4.1. Samtryggingard.'!AX49-'4.1. Samtryggingard.'!AX47</f>
        <v>3496</v>
      </c>
      <c r="AY65" s="71"/>
      <c r="AZ65" s="71">
        <f>+'4.1. Samtryggingard.'!AZ45+'4.1. Samtryggingard.'!AZ49-'4.1. Samtryggingard.'!AZ47</f>
        <v>1520446</v>
      </c>
      <c r="BA65" s="71"/>
      <c r="BB65" s="71">
        <f>+'4.1. Samtryggingard.'!BB45+'4.1. Samtryggingard.'!BB49-'4.1. Samtryggingard.'!BB47</f>
        <v>286103</v>
      </c>
      <c r="BC65" s="71">
        <f>+'4.1. Samtryggingard.'!BC45+'4.1. Samtryggingard.'!BC49-'4.1. Samtryggingard.'!BC47</f>
        <v>1234343</v>
      </c>
    </row>
    <row r="66" spans="1:55" ht="12.75" customHeight="1">
      <c r="A66" s="6" t="s">
        <v>249</v>
      </c>
      <c r="B66" s="28"/>
      <c r="C66" s="71">
        <f>+'4.1. Samtryggingard.'!C62</f>
        <v>67474436</v>
      </c>
      <c r="D66" s="71">
        <f>+'4.1. Samtryggingard.'!D62</f>
        <v>155738409</v>
      </c>
      <c r="E66" s="71">
        <f>+'4.1. Samtryggingard.'!E62</f>
        <v>186848342</v>
      </c>
      <c r="F66" s="71">
        <f>+'4.1. Samtryggingard.'!F62</f>
        <v>179702206</v>
      </c>
      <c r="G66" s="71">
        <f>+'4.1. Samtryggingard.'!G62</f>
        <v>3728391</v>
      </c>
      <c r="H66" s="71">
        <f>+'4.1. Samtryggingard.'!H62</f>
        <v>66025625</v>
      </c>
      <c r="I66" s="71">
        <f>+'4.1. Samtryggingard.'!I62</f>
        <v>18339325</v>
      </c>
      <c r="J66" s="71">
        <f>+'4.1. Samtryggingard.'!J62</f>
        <v>5261996</v>
      </c>
      <c r="K66" s="71">
        <f>+'4.1. Samtryggingard.'!K62</f>
        <v>5685874</v>
      </c>
      <c r="L66" s="71">
        <f>+'4.1. Samtryggingard.'!L62</f>
        <v>59820508</v>
      </c>
      <c r="M66" s="71">
        <f>+'4.1. Samtryggingard.'!M62</f>
        <v>10022057</v>
      </c>
      <c r="N66" s="71">
        <f>+'4.1. Samtryggingard.'!N62</f>
        <v>45904494</v>
      </c>
      <c r="O66" s="71">
        <f>+'4.1. Samtryggingard.'!O62</f>
        <v>41346480</v>
      </c>
      <c r="P66" s="71">
        <f>+'4.1. Samtryggingard.'!P62</f>
        <v>39349269</v>
      </c>
      <c r="Q66" s="71">
        <f>+'4.1. Samtryggingard.'!Q62</f>
        <v>21046913</v>
      </c>
      <c r="R66" s="71">
        <f>+'4.1. Samtryggingard.'!R62</f>
        <v>7626276</v>
      </c>
      <c r="S66" s="71">
        <f>+'4.1. Samtryggingard.'!S62</f>
        <v>21919726</v>
      </c>
      <c r="T66" s="71">
        <f>+'4.1. Samtryggingard.'!T62</f>
        <v>20665916</v>
      </c>
      <c r="U66" s="71">
        <f>+'4.1. Samtryggingard.'!U62</f>
        <v>21798681</v>
      </c>
      <c r="V66" s="71">
        <f>+'4.1. Samtryggingard.'!V62</f>
        <v>14925337</v>
      </c>
      <c r="W66" s="71">
        <f>+'4.1. Samtryggingard.'!W62</f>
        <v>1225582</v>
      </c>
      <c r="X66" s="71">
        <f>+'4.1. Samtryggingard.'!X62</f>
        <v>1587143</v>
      </c>
      <c r="Y66" s="71">
        <f>+'4.1. Samtryggingard.'!Y62</f>
        <v>18541820</v>
      </c>
      <c r="Z66" s="71">
        <f>+'4.1. Samtryggingard.'!Z62</f>
        <v>17650885</v>
      </c>
      <c r="AA66" s="71">
        <f>+'4.1. Samtryggingard.'!AA62</f>
        <v>18235581</v>
      </c>
      <c r="AB66" s="71">
        <f>+'4.1. Samtryggingard.'!AB62</f>
        <v>11730153</v>
      </c>
      <c r="AC66" s="71">
        <f>+'4.1. Samtryggingard.'!AC62</f>
        <v>11462020</v>
      </c>
      <c r="AD66" s="71">
        <f>+'4.1. Samtryggingard.'!AD62</f>
        <v>10679590</v>
      </c>
      <c r="AE66" s="71">
        <f>+'4.1. Samtryggingard.'!AE62</f>
        <v>6265271</v>
      </c>
      <c r="AF66" s="71">
        <f>+'4.1. Samtryggingard.'!AF62</f>
        <v>3328634</v>
      </c>
      <c r="AG66" s="71">
        <f>+'4.1. Samtryggingard.'!AG62</f>
        <v>3333553</v>
      </c>
      <c r="AH66" s="71">
        <f>+'4.1. Samtryggingard.'!AH62</f>
        <v>185128</v>
      </c>
      <c r="AI66" s="71">
        <f>+'4.1. Samtryggingard.'!AI62</f>
        <v>2635240</v>
      </c>
      <c r="AJ66" s="71">
        <f>+'4.1. Samtryggingard.'!AJ62</f>
        <v>245941</v>
      </c>
      <c r="AK66" s="71">
        <f>+'4.1. Samtryggingard.'!AK62</f>
        <v>2063521</v>
      </c>
      <c r="AL66" s="71">
        <f>+'4.1. Samtryggingard.'!AL62</f>
        <v>2144938</v>
      </c>
      <c r="AM66" s="71">
        <f>+'4.1. Samtryggingard.'!AM62</f>
        <v>1859531</v>
      </c>
      <c r="AN66" s="71">
        <f>+'4.1. Samtryggingard.'!AN62</f>
        <v>1596326</v>
      </c>
      <c r="AO66" s="71">
        <f>+'4.1. Samtryggingard.'!AO62</f>
        <v>1030489</v>
      </c>
      <c r="AP66" s="71">
        <f>+'4.1. Samtryggingard.'!AP62</f>
        <v>681958</v>
      </c>
      <c r="AQ66" s="71">
        <f>+'4.1. Samtryggingard.'!AQ62</f>
        <v>733214</v>
      </c>
      <c r="AR66" s="71">
        <f>+'4.1. Samtryggingard.'!AR62</f>
        <v>647775</v>
      </c>
      <c r="AS66" s="71">
        <f>+'4.1. Samtryggingard.'!AS62</f>
        <v>514859</v>
      </c>
      <c r="AT66" s="71">
        <f>+'4.1. Samtryggingard.'!AT62</f>
        <v>457851</v>
      </c>
      <c r="AU66" s="71">
        <f>+'4.1. Samtryggingard.'!AU62</f>
        <v>419890</v>
      </c>
      <c r="AV66" s="71">
        <f>+'4.1. Samtryggingard.'!AV62</f>
        <v>212580</v>
      </c>
      <c r="AW66" s="71">
        <f>+'4.1. Samtryggingard.'!AW62</f>
        <v>55886</v>
      </c>
      <c r="AX66" s="71">
        <f>+'4.1. Samtryggingard.'!AX62</f>
        <v>71767</v>
      </c>
      <c r="AY66" s="71"/>
      <c r="AZ66" s="71">
        <f>+'4.1. Samtryggingard.'!AZ62</f>
        <v>1112827387</v>
      </c>
      <c r="BA66" s="71"/>
      <c r="BB66" s="71">
        <f>+'4.1. Samtryggingard.'!BB62</f>
        <v>200733208</v>
      </c>
      <c r="BC66" s="71">
        <f>+'4.1. Samtryggingard.'!BC62</f>
        <v>912094179</v>
      </c>
    </row>
    <row r="67" spans="1:55" ht="12.75" customHeight="1">
      <c r="A67" s="6" t="s">
        <v>248</v>
      </c>
      <c r="B67" s="28"/>
      <c r="C67" s="71">
        <f>+'4.1. Samtryggingard.'!C64</f>
        <v>91184602</v>
      </c>
      <c r="D67" s="71">
        <f>+'4.1. Samtryggingard.'!D64</f>
        <v>185400903</v>
      </c>
      <c r="E67" s="71">
        <f>+'4.1. Samtryggingard.'!E64</f>
        <v>234770059</v>
      </c>
      <c r="F67" s="71">
        <f>+'4.1. Samtryggingard.'!F64</f>
        <v>213424953</v>
      </c>
      <c r="G67" s="71">
        <f>+'4.1. Samtryggingard.'!G64</f>
        <v>6783209</v>
      </c>
      <c r="H67" s="71">
        <f>+'4.1. Samtryggingard.'!H64</f>
        <v>78774371</v>
      </c>
      <c r="I67" s="71">
        <f>+'4.1. Samtryggingard.'!I64</f>
        <v>22803846</v>
      </c>
      <c r="J67" s="71">
        <f>+'4.1. Samtryggingard.'!J64</f>
        <v>5718895</v>
      </c>
      <c r="K67" s="71">
        <f>+'4.1. Samtryggingard.'!K64</f>
        <v>7710838</v>
      </c>
      <c r="L67" s="71">
        <f>+'4.1. Samtryggingard.'!L64</f>
        <v>71525550</v>
      </c>
      <c r="M67" s="71">
        <f>+'4.1. Samtryggingard.'!M64</f>
        <v>11491637</v>
      </c>
      <c r="N67" s="71">
        <f>+'4.1. Samtryggingard.'!N64</f>
        <v>54355365</v>
      </c>
      <c r="O67" s="71">
        <f>+'4.1. Samtryggingard.'!O64</f>
        <v>50594350</v>
      </c>
      <c r="P67" s="71">
        <f>+'4.1. Samtryggingard.'!P64</f>
        <v>48532662</v>
      </c>
      <c r="Q67" s="71">
        <f>+'4.1. Samtryggingard.'!Q64</f>
        <v>24739080</v>
      </c>
      <c r="R67" s="71">
        <f>+'4.1. Samtryggingard.'!R64</f>
        <v>10080709</v>
      </c>
      <c r="S67" s="71">
        <f>+'4.1. Samtryggingard.'!S64</f>
        <v>27371507</v>
      </c>
      <c r="T67" s="71">
        <f>+'4.1. Samtryggingard.'!T64</f>
        <v>25780336</v>
      </c>
      <c r="U67" s="71">
        <f>+'4.1. Samtryggingard.'!U64</f>
        <v>25645214</v>
      </c>
      <c r="V67" s="71">
        <f>+'4.1. Samtryggingard.'!V64</f>
        <v>20241933</v>
      </c>
      <c r="W67" s="71">
        <f>+'4.1. Samtryggingard.'!W64</f>
        <v>1900230</v>
      </c>
      <c r="X67" s="71">
        <f>+'4.1. Samtryggingard.'!X64</f>
        <v>2369364</v>
      </c>
      <c r="Y67" s="71">
        <f>+'4.1. Samtryggingard.'!Y64</f>
        <v>22147806</v>
      </c>
      <c r="Z67" s="71">
        <f>+'4.1. Samtryggingard.'!Z64</f>
        <v>21443378</v>
      </c>
      <c r="AA67" s="71">
        <f>+'4.1. Samtryggingard.'!AA64</f>
        <v>20905368</v>
      </c>
      <c r="AB67" s="71">
        <f>+'4.1. Samtryggingard.'!AB64</f>
        <v>14087989</v>
      </c>
      <c r="AC67" s="71">
        <f>+'4.1. Samtryggingard.'!AC64</f>
        <v>13179379</v>
      </c>
      <c r="AD67" s="71">
        <f>+'4.1. Samtryggingard.'!AD64</f>
        <v>11865756</v>
      </c>
      <c r="AE67" s="71">
        <f>+'4.1. Samtryggingard.'!AE64</f>
        <v>7064000</v>
      </c>
      <c r="AF67" s="71">
        <f>+'4.1. Samtryggingard.'!AF64</f>
        <v>3882037</v>
      </c>
      <c r="AG67" s="71">
        <f>+'4.1. Samtryggingard.'!AG64</f>
        <v>3630804</v>
      </c>
      <c r="AH67" s="71">
        <f>+'4.1. Samtryggingard.'!AH64</f>
        <v>183340</v>
      </c>
      <c r="AI67" s="71">
        <f>+'4.1. Samtryggingard.'!AI64</f>
        <v>2886162</v>
      </c>
      <c r="AJ67" s="71">
        <f>+'4.1. Samtryggingard.'!AJ64</f>
        <v>322973</v>
      </c>
      <c r="AK67" s="71">
        <f>+'4.1. Samtryggingard.'!AK64</f>
        <v>2392116</v>
      </c>
      <c r="AL67" s="71">
        <f>+'4.1. Samtryggingard.'!AL64</f>
        <v>2378238</v>
      </c>
      <c r="AM67" s="71">
        <f>+'4.1. Samtryggingard.'!AM64</f>
        <v>2186980</v>
      </c>
      <c r="AN67" s="71">
        <f>+'4.1. Samtryggingard.'!AN64</f>
        <v>1766300</v>
      </c>
      <c r="AO67" s="71">
        <f>+'4.1. Samtryggingard.'!AO64</f>
        <v>1124824</v>
      </c>
      <c r="AP67" s="71">
        <f>+'4.1. Samtryggingard.'!AP64</f>
        <v>800865</v>
      </c>
      <c r="AQ67" s="71">
        <f>+'4.1. Samtryggingard.'!AQ64</f>
        <v>777183</v>
      </c>
      <c r="AR67" s="71">
        <f>+'4.1. Samtryggingard.'!AR64</f>
        <v>693277</v>
      </c>
      <c r="AS67" s="71">
        <f>+'4.1. Samtryggingard.'!AS64</f>
        <v>537615</v>
      </c>
      <c r="AT67" s="71">
        <f>+'4.1. Samtryggingard.'!AT64</f>
        <v>470205</v>
      </c>
      <c r="AU67" s="71">
        <f>+'4.1. Samtryggingard.'!AU64</f>
        <v>451429</v>
      </c>
      <c r="AV67" s="71">
        <f>+'4.1. Samtryggingard.'!AV64</f>
        <v>443865</v>
      </c>
      <c r="AW67" s="71">
        <f>+'4.1. Samtryggingard.'!AW64</f>
        <v>64523</v>
      </c>
      <c r="AX67" s="71">
        <f>+'4.1. Samtryggingard.'!AX64</f>
        <v>27471</v>
      </c>
      <c r="AY67" s="71"/>
      <c r="AZ67" s="71">
        <f>+'4.1. Samtryggingard.'!AZ64</f>
        <v>1356913496</v>
      </c>
      <c r="BA67" s="71"/>
      <c r="BB67" s="71">
        <f>+'4.1. Samtryggingard.'!BB64</f>
        <v>237845739</v>
      </c>
      <c r="BC67" s="71">
        <f>+'4.1. Samtryggingard.'!BC64</f>
        <v>1119067757</v>
      </c>
    </row>
    <row r="68" spans="1:55" ht="12.75" customHeight="1">
      <c r="A68" s="12"/>
      <c r="B68" s="2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46"/>
      <c r="BC68" s="46"/>
    </row>
    <row r="69" spans="1:55" ht="12.75" customHeight="1">
      <c r="A69" s="6" t="s">
        <v>221</v>
      </c>
      <c r="B69" s="28"/>
      <c r="F69" s="32"/>
      <c r="M69" s="32"/>
      <c r="S69" s="32"/>
      <c r="T69" s="32"/>
      <c r="X69" s="32"/>
      <c r="Z69" s="32"/>
      <c r="AG69" s="32"/>
      <c r="AL69" s="32"/>
      <c r="AO69" s="32"/>
      <c r="AY69" s="68"/>
      <c r="BA69" s="68"/>
      <c r="BB69" s="46"/>
      <c r="BC69" s="46"/>
    </row>
    <row r="70" spans="1:55" ht="12.75" customHeight="1">
      <c r="A70" s="6" t="s">
        <v>222</v>
      </c>
      <c r="B70" s="28"/>
      <c r="C70" s="72">
        <f aca="true" t="shared" si="9" ref="C70:AX70">+(C66+C67-(C64-C65))</f>
        <v>145183228</v>
      </c>
      <c r="D70" s="72">
        <f t="shared" si="9"/>
        <v>311997097</v>
      </c>
      <c r="E70" s="72">
        <f t="shared" si="9"/>
        <v>382514474</v>
      </c>
      <c r="F70" s="72">
        <f t="shared" si="9"/>
        <v>362374625</v>
      </c>
      <c r="G70" s="72">
        <f t="shared" si="9"/>
        <v>9576048</v>
      </c>
      <c r="H70" s="72">
        <f t="shared" si="9"/>
        <v>131898059</v>
      </c>
      <c r="I70" s="72">
        <f t="shared" si="9"/>
        <v>37707332</v>
      </c>
      <c r="J70" s="72">
        <f t="shared" si="9"/>
        <v>10488884</v>
      </c>
      <c r="K70" s="72">
        <f t="shared" si="9"/>
        <v>12190484</v>
      </c>
      <c r="L70" s="72">
        <f t="shared" si="9"/>
        <v>121299094</v>
      </c>
      <c r="M70" s="72">
        <f t="shared" si="9"/>
        <v>19633298</v>
      </c>
      <c r="N70" s="72">
        <f t="shared" si="9"/>
        <v>92749852</v>
      </c>
      <c r="O70" s="72">
        <f t="shared" si="9"/>
        <v>84280557</v>
      </c>
      <c r="P70" s="72">
        <f t="shared" si="9"/>
        <v>80338917</v>
      </c>
      <c r="Q70" s="72">
        <f t="shared" si="9"/>
        <v>42969241</v>
      </c>
      <c r="R70" s="72">
        <f t="shared" si="9"/>
        <v>16284378</v>
      </c>
      <c r="S70" s="72">
        <f t="shared" si="9"/>
        <v>45556505</v>
      </c>
      <c r="T70" s="72">
        <f t="shared" si="9"/>
        <v>42761625</v>
      </c>
      <c r="U70" s="72">
        <f t="shared" si="9"/>
        <v>43775710</v>
      </c>
      <c r="V70" s="72">
        <f t="shared" si="9"/>
        <v>32717401</v>
      </c>
      <c r="W70" s="72">
        <f t="shared" si="9"/>
        <v>2895828</v>
      </c>
      <c r="X70" s="72">
        <f t="shared" si="9"/>
        <v>3631642</v>
      </c>
      <c r="Y70" s="72">
        <f t="shared" si="9"/>
        <v>37191588</v>
      </c>
      <c r="Z70" s="72">
        <f t="shared" si="9"/>
        <v>35447723</v>
      </c>
      <c r="AA70" s="72">
        <f t="shared" si="9"/>
        <v>36210421</v>
      </c>
      <c r="AB70" s="72">
        <f t="shared" si="9"/>
        <v>23869429</v>
      </c>
      <c r="AC70" s="72">
        <f t="shared" si="9"/>
        <v>23353550</v>
      </c>
      <c r="AD70" s="72">
        <f t="shared" si="9"/>
        <v>21084437</v>
      </c>
      <c r="AE70" s="72">
        <f t="shared" si="9"/>
        <v>12798891</v>
      </c>
      <c r="AF70" s="72">
        <f t="shared" si="9"/>
        <v>6733192</v>
      </c>
      <c r="AG70" s="72">
        <f t="shared" si="9"/>
        <v>6515978</v>
      </c>
      <c r="AH70" s="72">
        <f t="shared" si="9"/>
        <v>352623</v>
      </c>
      <c r="AI70" s="72">
        <f t="shared" si="9"/>
        <v>5152891</v>
      </c>
      <c r="AJ70" s="72">
        <f t="shared" si="9"/>
        <v>528915</v>
      </c>
      <c r="AK70" s="72">
        <f t="shared" si="9"/>
        <v>4121815</v>
      </c>
      <c r="AL70" s="72">
        <f t="shared" si="9"/>
        <v>4217310</v>
      </c>
      <c r="AM70" s="72">
        <f t="shared" si="9"/>
        <v>3703533</v>
      </c>
      <c r="AN70" s="72">
        <f t="shared" si="9"/>
        <v>3128603</v>
      </c>
      <c r="AO70" s="72">
        <f t="shared" si="9"/>
        <v>1999573</v>
      </c>
      <c r="AP70" s="72">
        <f t="shared" si="9"/>
        <v>1364683</v>
      </c>
      <c r="AQ70" s="72">
        <f t="shared" si="9"/>
        <v>1421969</v>
      </c>
      <c r="AR70" s="72">
        <f t="shared" si="9"/>
        <v>1256771</v>
      </c>
      <c r="AS70" s="72">
        <f t="shared" si="9"/>
        <v>991155</v>
      </c>
      <c r="AT70" s="72">
        <f t="shared" si="9"/>
        <v>873796</v>
      </c>
      <c r="AU70" s="72">
        <f t="shared" si="9"/>
        <v>829187</v>
      </c>
      <c r="AV70" s="72">
        <f t="shared" si="9"/>
        <v>633889</v>
      </c>
      <c r="AW70" s="72">
        <f t="shared" si="9"/>
        <v>117241</v>
      </c>
      <c r="AX70" s="72">
        <f t="shared" si="9"/>
        <v>98312</v>
      </c>
      <c r="AY70" s="72"/>
      <c r="AZ70" s="72">
        <f>+(AZ66+AZ67-(AZ64-AZ65))</f>
        <v>2266821754</v>
      </c>
      <c r="BA70" s="72"/>
      <c r="BB70" s="72">
        <f>+(BB66+BB67-(BB64-BB65))</f>
        <v>438865050</v>
      </c>
      <c r="BC70" s="72">
        <f>+(BC66+BC67-(BC64-BC65))</f>
        <v>1864042462</v>
      </c>
    </row>
    <row r="71" spans="1:55" ht="12.75" customHeight="1">
      <c r="A71" s="6" t="s">
        <v>223</v>
      </c>
      <c r="B71" s="28"/>
      <c r="C71" s="91">
        <f aca="true" t="shared" si="10" ref="C71:AX71">+(2*(C64-C65))/C70</f>
        <v>0.18563866068606769</v>
      </c>
      <c r="D71" s="91">
        <f t="shared" si="10"/>
        <v>0.18681080869159497</v>
      </c>
      <c r="E71" s="91">
        <f t="shared" si="10"/>
        <v>0.20445724100887225</v>
      </c>
      <c r="F71" s="91">
        <f t="shared" si="10"/>
        <v>0.1697278555307232</v>
      </c>
      <c r="G71" s="91">
        <f t="shared" si="10"/>
        <v>0.19539417513362506</v>
      </c>
      <c r="H71" s="91">
        <f t="shared" si="10"/>
        <v>0.19563497898024412</v>
      </c>
      <c r="I71" s="91">
        <f t="shared" si="10"/>
        <v>0.1822371840044265</v>
      </c>
      <c r="J71" s="91">
        <f t="shared" si="10"/>
        <v>0.09381493779509813</v>
      </c>
      <c r="K71" s="91">
        <f t="shared" si="10"/>
        <v>0.19789665447245572</v>
      </c>
      <c r="L71" s="91">
        <f t="shared" si="10"/>
        <v>0.16565604356451336</v>
      </c>
      <c r="M71" s="91">
        <f t="shared" si="10"/>
        <v>0.19155171994027698</v>
      </c>
      <c r="N71" s="91">
        <f t="shared" si="10"/>
        <v>0.1619411101593995</v>
      </c>
      <c r="O71" s="91">
        <f t="shared" si="10"/>
        <v>0.1817803126289258</v>
      </c>
      <c r="P71" s="91">
        <f t="shared" si="10"/>
        <v>0.18777982780126348</v>
      </c>
      <c r="Q71" s="91">
        <f t="shared" si="10"/>
        <v>0.13110550405114207</v>
      </c>
      <c r="R71" s="91">
        <f t="shared" si="10"/>
        <v>0.1747204590804758</v>
      </c>
      <c r="S71" s="91">
        <f t="shared" si="10"/>
        <v>0.16396025112110774</v>
      </c>
      <c r="T71" s="91">
        <f t="shared" si="10"/>
        <v>0.17233334794924188</v>
      </c>
      <c r="U71" s="91">
        <f t="shared" si="10"/>
        <v>0.16758997169891704</v>
      </c>
      <c r="V71" s="91">
        <f t="shared" si="10"/>
        <v>0.1497593895065198</v>
      </c>
      <c r="W71" s="91">
        <f t="shared" si="10"/>
        <v>0.15883816304007006</v>
      </c>
      <c r="X71" s="91">
        <f t="shared" si="10"/>
        <v>0.17890805316162772</v>
      </c>
      <c r="Y71" s="91">
        <f t="shared" si="10"/>
        <v>0.18810909606763765</v>
      </c>
      <c r="Z71" s="91">
        <f t="shared" si="10"/>
        <v>0.20574184694458372</v>
      </c>
      <c r="AA71" s="91">
        <f t="shared" si="10"/>
        <v>0.1618610289010448</v>
      </c>
      <c r="AB71" s="91">
        <f t="shared" si="10"/>
        <v>0.16328107387906096</v>
      </c>
      <c r="AC71" s="91">
        <f t="shared" si="10"/>
        <v>0.11029149743829096</v>
      </c>
      <c r="AD71" s="91">
        <f t="shared" si="10"/>
        <v>0.13857699875979615</v>
      </c>
      <c r="AE71" s="91">
        <f t="shared" si="10"/>
        <v>0.08287905569318467</v>
      </c>
      <c r="AF71" s="91">
        <f t="shared" si="10"/>
        <v>0.14182842253718592</v>
      </c>
      <c r="AG71" s="91">
        <f t="shared" si="10"/>
        <v>0.13762446711759924</v>
      </c>
      <c r="AH71" s="91">
        <f t="shared" si="10"/>
        <v>0.08986935055285673</v>
      </c>
      <c r="AI71" s="91">
        <f t="shared" si="10"/>
        <v>0.14303077631566435</v>
      </c>
      <c r="AJ71" s="91">
        <f t="shared" si="10"/>
        <v>0.15124925555145913</v>
      </c>
      <c r="AK71" s="91">
        <f t="shared" si="10"/>
        <v>0.16197815768053636</v>
      </c>
      <c r="AL71" s="91">
        <f t="shared" si="10"/>
        <v>0.14505265204597242</v>
      </c>
      <c r="AM71" s="91">
        <f t="shared" si="10"/>
        <v>0.18521665663570433</v>
      </c>
      <c r="AN71" s="91">
        <f t="shared" si="10"/>
        <v>0.14960223460758684</v>
      </c>
      <c r="AO71" s="91">
        <f t="shared" si="10"/>
        <v>0.15577325759049557</v>
      </c>
      <c r="AP71" s="91">
        <f t="shared" si="10"/>
        <v>0.17313910996180065</v>
      </c>
      <c r="AQ71" s="91">
        <f t="shared" si="10"/>
        <v>0.12437401940548634</v>
      </c>
      <c r="AR71" s="91">
        <f t="shared" si="10"/>
        <v>0.13412308208894064</v>
      </c>
      <c r="AS71" s="91">
        <f t="shared" si="10"/>
        <v>0.12373241319470718</v>
      </c>
      <c r="AT71" s="91">
        <f t="shared" si="10"/>
        <v>0.12419374773974703</v>
      </c>
      <c r="AU71" s="91">
        <f t="shared" si="10"/>
        <v>0.10162243257552277</v>
      </c>
      <c r="AV71" s="91">
        <f t="shared" si="10"/>
        <v>0.07116703397598002</v>
      </c>
      <c r="AW71" s="91">
        <f t="shared" si="10"/>
        <v>0.054042527784648714</v>
      </c>
      <c r="AX71" s="91">
        <f t="shared" si="10"/>
        <v>0.018837985190007324</v>
      </c>
      <c r="AY71" s="91"/>
      <c r="AZ71" s="91">
        <f>+(2*(AZ64-AZ65))/AZ70</f>
        <v>0.17903404062708672</v>
      </c>
      <c r="BA71" s="91"/>
      <c r="BB71" s="91">
        <f>+(2*(BB64-BB65))/BB70</f>
        <v>-0.0013038313258255585</v>
      </c>
      <c r="BC71" s="91">
        <f>+(2*(BC64-BC65))/BC70</f>
        <v>0.1793086556844755</v>
      </c>
    </row>
    <row r="72" spans="1:55" ht="12.75" customHeight="1">
      <c r="A72" s="47" t="s">
        <v>250</v>
      </c>
      <c r="B72" s="48"/>
      <c r="C72" s="90">
        <v>0.0695</v>
      </c>
      <c r="D72" s="90">
        <v>0.0695</v>
      </c>
      <c r="E72" s="90">
        <v>0.0695</v>
      </c>
      <c r="F72" s="90">
        <v>0.0695</v>
      </c>
      <c r="G72" s="90">
        <v>0.0695</v>
      </c>
      <c r="H72" s="90">
        <v>0.0695</v>
      </c>
      <c r="I72" s="90">
        <v>0.0695</v>
      </c>
      <c r="J72" s="90">
        <v>0.0695</v>
      </c>
      <c r="K72" s="90">
        <v>0.0695</v>
      </c>
      <c r="L72" s="90">
        <v>0.0695</v>
      </c>
      <c r="M72" s="90">
        <v>0.0695</v>
      </c>
      <c r="N72" s="90">
        <v>0.0695</v>
      </c>
      <c r="O72" s="90">
        <v>0.0695</v>
      </c>
      <c r="P72" s="90">
        <v>0.0695</v>
      </c>
      <c r="Q72" s="90">
        <v>0.0695</v>
      </c>
      <c r="R72" s="90">
        <v>0.0695</v>
      </c>
      <c r="S72" s="90">
        <v>0.0695</v>
      </c>
      <c r="T72" s="90">
        <v>0.0695</v>
      </c>
      <c r="U72" s="90">
        <v>0.0695</v>
      </c>
      <c r="V72" s="90">
        <v>0.0695</v>
      </c>
      <c r="W72" s="90">
        <v>0.0695</v>
      </c>
      <c r="X72" s="90">
        <v>0.0695</v>
      </c>
      <c r="Y72" s="90">
        <v>0.0695</v>
      </c>
      <c r="Z72" s="90">
        <v>0.0695</v>
      </c>
      <c r="AA72" s="90">
        <v>0.0695</v>
      </c>
      <c r="AB72" s="90">
        <v>0.0695</v>
      </c>
      <c r="AC72" s="90">
        <v>0.0695</v>
      </c>
      <c r="AD72" s="90">
        <v>0.0695</v>
      </c>
      <c r="AE72" s="90">
        <v>0.0695</v>
      </c>
      <c r="AF72" s="90">
        <v>0.0695</v>
      </c>
      <c r="AG72" s="90">
        <v>0.0695</v>
      </c>
      <c r="AH72" s="90">
        <v>0.0695</v>
      </c>
      <c r="AI72" s="90">
        <v>0.0695</v>
      </c>
      <c r="AJ72" s="90">
        <v>0.0695</v>
      </c>
      <c r="AK72" s="90">
        <v>0.0695</v>
      </c>
      <c r="AL72" s="90">
        <v>0.0695</v>
      </c>
      <c r="AM72" s="90">
        <v>0.0695</v>
      </c>
      <c r="AN72" s="90">
        <v>0.0695</v>
      </c>
      <c r="AO72" s="90">
        <v>0.0695</v>
      </c>
      <c r="AP72" s="90">
        <v>0.0695</v>
      </c>
      <c r="AQ72" s="90">
        <v>0.0695</v>
      </c>
      <c r="AR72" s="90">
        <v>0.0695</v>
      </c>
      <c r="AS72" s="90">
        <v>0.0695</v>
      </c>
      <c r="AT72" s="90">
        <v>0.0695</v>
      </c>
      <c r="AU72" s="90">
        <v>0.0695</v>
      </c>
      <c r="AV72" s="90">
        <v>0.0695</v>
      </c>
      <c r="AW72" s="90">
        <v>0.0695</v>
      </c>
      <c r="AX72" s="90">
        <v>0.0695</v>
      </c>
      <c r="AY72" s="90"/>
      <c r="AZ72" s="90">
        <v>0.0695</v>
      </c>
      <c r="BA72" s="90"/>
      <c r="BB72" s="90">
        <v>0.0695</v>
      </c>
      <c r="BC72" s="90">
        <v>0.0695</v>
      </c>
    </row>
    <row r="73" spans="1:55" ht="12.75" customHeight="1">
      <c r="A73" s="11"/>
      <c r="B73" s="73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:55" s="99" customFormat="1" ht="12.75" customHeight="1">
      <c r="A74" s="98" t="s">
        <v>224</v>
      </c>
      <c r="B74" s="94"/>
      <c r="C74" s="99">
        <f aca="true" t="shared" si="11" ref="C74:AX74">((1+C71)/(1+C72)-1)*100</f>
        <v>10.859154809356465</v>
      </c>
      <c r="D74" s="99">
        <f t="shared" si="11"/>
        <v>10.968752565834027</v>
      </c>
      <c r="E74" s="99">
        <f t="shared" si="11"/>
        <v>12.618722861979625</v>
      </c>
      <c r="F74" s="99">
        <f t="shared" si="11"/>
        <v>9.371468492821222</v>
      </c>
      <c r="G74" s="99">
        <f t="shared" si="11"/>
        <v>11.77131137294296</v>
      </c>
      <c r="H74" s="99">
        <f t="shared" si="11"/>
        <v>11.793826926624028</v>
      </c>
      <c r="I74" s="99">
        <f t="shared" si="11"/>
        <v>10.541111173859408</v>
      </c>
      <c r="J74" s="99">
        <f t="shared" si="11"/>
        <v>2.2734864698548796</v>
      </c>
      <c r="K74" s="99">
        <f t="shared" si="11"/>
        <v>12.005297285877091</v>
      </c>
      <c r="L74" s="99">
        <f t="shared" si="11"/>
        <v>8.990747411361678</v>
      </c>
      <c r="M74" s="99">
        <f t="shared" si="11"/>
        <v>11.412035525037577</v>
      </c>
      <c r="N74" s="99">
        <f t="shared" si="11"/>
        <v>8.64339505931737</v>
      </c>
      <c r="O74" s="99">
        <f t="shared" si="11"/>
        <v>10.4983929526812</v>
      </c>
      <c r="P74" s="99">
        <f t="shared" si="11"/>
        <v>11.05935743817328</v>
      </c>
      <c r="Q74" s="99">
        <f t="shared" si="11"/>
        <v>5.7602154325518296</v>
      </c>
      <c r="R74" s="99">
        <f t="shared" si="11"/>
        <v>9.838285094013631</v>
      </c>
      <c r="S74" s="99">
        <f t="shared" si="11"/>
        <v>8.83218804311432</v>
      </c>
      <c r="T74" s="99">
        <f t="shared" si="11"/>
        <v>9.615086297264309</v>
      </c>
      <c r="U74" s="99">
        <f t="shared" si="11"/>
        <v>9.171572856373732</v>
      </c>
      <c r="V74" s="99">
        <f t="shared" si="11"/>
        <v>7.504384245583906</v>
      </c>
      <c r="W74" s="99">
        <f t="shared" si="11"/>
        <v>8.353264426374007</v>
      </c>
      <c r="X74" s="99">
        <f t="shared" si="11"/>
        <v>10.229831992672068</v>
      </c>
      <c r="Y74" s="99">
        <f t="shared" si="11"/>
        <v>11.09014455985391</v>
      </c>
      <c r="Z74" s="99">
        <f t="shared" si="11"/>
        <v>12.738835618941891</v>
      </c>
      <c r="AA74" s="99">
        <f t="shared" si="11"/>
        <v>8.635907330625958</v>
      </c>
      <c r="AB74" s="99">
        <f t="shared" si="11"/>
        <v>8.76868385965972</v>
      </c>
      <c r="AC74" s="99">
        <f t="shared" si="11"/>
        <v>3.8140717567359372</v>
      </c>
      <c r="AD74" s="99">
        <f t="shared" si="11"/>
        <v>6.458812413258164</v>
      </c>
      <c r="AE74" s="99">
        <f t="shared" si="11"/>
        <v>1.2509635991757362</v>
      </c>
      <c r="AF74" s="99">
        <f t="shared" si="11"/>
        <v>6.7628258566793775</v>
      </c>
      <c r="AG74" s="99">
        <f t="shared" si="11"/>
        <v>6.369749146105574</v>
      </c>
      <c r="AH74" s="99">
        <f t="shared" si="11"/>
        <v>1.904567606625207</v>
      </c>
      <c r="AI74" s="99">
        <f t="shared" si="11"/>
        <v>6.875247902352899</v>
      </c>
      <c r="AJ74" s="99">
        <f t="shared" si="11"/>
        <v>7.64368915862168</v>
      </c>
      <c r="AK74" s="99">
        <f t="shared" si="11"/>
        <v>8.646859063163737</v>
      </c>
      <c r="AL74" s="99">
        <f t="shared" si="11"/>
        <v>7.064296591488772</v>
      </c>
      <c r="AM74" s="99">
        <f t="shared" si="11"/>
        <v>10.819696740131302</v>
      </c>
      <c r="AN74" s="99">
        <f t="shared" si="11"/>
        <v>7.489690005384464</v>
      </c>
      <c r="AO74" s="99">
        <f t="shared" si="11"/>
        <v>8.066690751799488</v>
      </c>
      <c r="AP74" s="99">
        <f t="shared" si="11"/>
        <v>9.690426363889726</v>
      </c>
      <c r="AQ74" s="99">
        <f t="shared" si="11"/>
        <v>5.1308106035985235</v>
      </c>
      <c r="AR74" s="99">
        <f t="shared" si="11"/>
        <v>6.04236391668449</v>
      </c>
      <c r="AS74" s="99">
        <f t="shared" si="11"/>
        <v>5.070819373044144</v>
      </c>
      <c r="AT74" s="99">
        <f t="shared" si="11"/>
        <v>5.113954907877227</v>
      </c>
      <c r="AU74" s="99">
        <f t="shared" si="11"/>
        <v>3.003500007061488</v>
      </c>
      <c r="AV74" s="99">
        <f t="shared" si="11"/>
        <v>0.15587040448619138</v>
      </c>
      <c r="AW74" s="99">
        <f t="shared" si="11"/>
        <v>-1.4452989448668796</v>
      </c>
      <c r="AX74" s="99">
        <f t="shared" si="11"/>
        <v>-4.73698128190676</v>
      </c>
      <c r="AZ74" s="99">
        <f>((1+AZ71)/(1+AZ72)-1)*100</f>
        <v>10.241612026843061</v>
      </c>
      <c r="BB74" s="99">
        <f>((1+BB71)/(1+BB72)-1)*100</f>
        <v>-6.620274083761169</v>
      </c>
      <c r="BC74" s="99">
        <f>((1+BC71)/(1+BC72)-1)*100</f>
        <v>10.267288984055668</v>
      </c>
    </row>
    <row r="75" spans="1:55" s="99" customFormat="1" ht="12.75" customHeight="1" thickBot="1">
      <c r="A75" s="113"/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</row>
    <row r="76" spans="1:55" ht="12.75" customHeight="1">
      <c r="A76" s="14" t="s">
        <v>48</v>
      </c>
      <c r="B76" s="28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>
        <v>0.0414</v>
      </c>
      <c r="BA76" s="74"/>
      <c r="BB76" s="74">
        <v>0.0414</v>
      </c>
      <c r="BC76" s="74">
        <v>0.0414</v>
      </c>
    </row>
    <row r="77" spans="1:50" ht="12.75" customHeight="1">
      <c r="A77" s="76" t="s">
        <v>225</v>
      </c>
      <c r="B77" s="77"/>
      <c r="C77" s="52">
        <f>+'4.1. Samtryggingard.'!C20</f>
        <v>368867</v>
      </c>
      <c r="D77" s="52">
        <f>+'4.1. Samtryggingard.'!D20</f>
        <v>13573251</v>
      </c>
      <c r="E77" s="52">
        <f>+'4.1. Samtryggingard.'!E20</f>
        <v>3422324</v>
      </c>
      <c r="F77" s="52">
        <f>+'4.1. Samtryggingard.'!F20</f>
        <v>4823737</v>
      </c>
      <c r="G77" s="52">
        <f>+'4.1. Samtryggingard.'!G20</f>
        <v>10519</v>
      </c>
      <c r="H77" s="52">
        <f>+'4.1. Samtryggingard.'!H20</f>
        <v>2022460</v>
      </c>
      <c r="I77" s="52">
        <f>+'4.1. Samtryggingard.'!I20</f>
        <v>0</v>
      </c>
      <c r="J77" s="52">
        <f>+'4.1. Samtryggingard.'!J20</f>
        <v>508204</v>
      </c>
      <c r="K77" s="52">
        <f>+'4.1. Samtryggingard.'!K20</f>
        <v>76153</v>
      </c>
      <c r="L77" s="52">
        <f>+'4.1. Samtryggingard.'!L20</f>
        <v>1398306</v>
      </c>
      <c r="M77" s="52">
        <f>+'4.1. Samtryggingard.'!M20</f>
        <v>141651</v>
      </c>
      <c r="N77" s="52">
        <f>+'4.1. Samtryggingard.'!N20</f>
        <v>1347303</v>
      </c>
      <c r="O77" s="52">
        <f>+'4.1. Samtryggingard.'!O20</f>
        <v>506577</v>
      </c>
      <c r="P77" s="52">
        <f>+'4.1. Samtryggingard.'!P20</f>
        <v>1166980</v>
      </c>
      <c r="Q77" s="52">
        <f>+'4.1. Samtryggingard.'!Q20</f>
        <v>871037</v>
      </c>
      <c r="R77" s="52">
        <f>+'4.1. Samtryggingard.'!R20</f>
        <v>35368</v>
      </c>
      <c r="S77" s="52">
        <f>+'4.1. Samtryggingard.'!S20</f>
        <v>539810</v>
      </c>
      <c r="T77" s="52">
        <f>+'4.1. Samtryggingard.'!T20</f>
        <v>220185</v>
      </c>
      <c r="U77" s="52">
        <f>+'4.1. Samtryggingard.'!U20</f>
        <v>513829</v>
      </c>
      <c r="V77" s="52">
        <f>+'4.1. Samtryggingard.'!V20</f>
        <v>217215</v>
      </c>
      <c r="W77" s="52">
        <f>+'4.1. Samtryggingard.'!W20</f>
        <v>5555</v>
      </c>
      <c r="X77" s="52">
        <f>+'4.1. Samtryggingard.'!X20</f>
        <v>3997</v>
      </c>
      <c r="Y77" s="52">
        <f>+'4.1. Samtryggingard.'!Y20</f>
        <v>969867</v>
      </c>
      <c r="Z77" s="52">
        <f>+'4.1. Samtryggingard.'!Z20</f>
        <v>434723</v>
      </c>
      <c r="AA77" s="52">
        <f>+'4.1. Samtryggingard.'!AA20</f>
        <v>697962</v>
      </c>
      <c r="AB77" s="52">
        <f>+'4.1. Samtryggingard.'!AB20</f>
        <v>405197</v>
      </c>
      <c r="AC77" s="52">
        <f>+'4.1. Samtryggingard.'!AC20</f>
        <v>1737655</v>
      </c>
      <c r="AD77" s="52">
        <f>+'4.1. Samtryggingard.'!AD20</f>
        <v>368464</v>
      </c>
      <c r="AE77" s="52">
        <f>+'4.1. Samtryggingard.'!AE20</f>
        <v>166680</v>
      </c>
      <c r="AF77" s="52">
        <f>+'4.1. Samtryggingard.'!AF20</f>
        <v>88736</v>
      </c>
      <c r="AG77" s="52">
        <f>+'4.1. Samtryggingard.'!AG20</f>
        <v>150768</v>
      </c>
      <c r="AH77" s="52">
        <f>+'4.1. Samtryggingard.'!AH20</f>
        <v>29332</v>
      </c>
      <c r="AI77" s="52">
        <f>+'4.1. Samtryggingard.'!AI20</f>
        <v>117589</v>
      </c>
      <c r="AJ77" s="52">
        <f>+'4.1. Samtryggingard.'!AJ20</f>
        <v>1786</v>
      </c>
      <c r="AK77" s="52">
        <f>+'4.1. Samtryggingard.'!AK20</f>
        <v>154902</v>
      </c>
      <c r="AL77" s="52">
        <f>+'4.1. Samtryggingard.'!AL20</f>
        <v>229833</v>
      </c>
      <c r="AM77" s="52">
        <f>+'4.1. Samtryggingard.'!AM20</f>
        <v>90284</v>
      </c>
      <c r="AN77" s="52">
        <f>+'4.1. Samtryggingard.'!AN20</f>
        <v>84410</v>
      </c>
      <c r="AO77" s="52">
        <f>+'4.1. Samtryggingard.'!AO20</f>
        <v>78504</v>
      </c>
      <c r="AP77" s="52">
        <f>+'4.1. Samtryggingard.'!AP20</f>
        <v>39633</v>
      </c>
      <c r="AQ77" s="52">
        <f>+'4.1. Samtryggingard.'!AQ20</f>
        <v>44039</v>
      </c>
      <c r="AR77" s="52">
        <f>+'4.1. Samtryggingard.'!AR20</f>
        <v>39118</v>
      </c>
      <c r="AS77" s="52">
        <f>+'4.1. Samtryggingard.'!AS20</f>
        <v>38377</v>
      </c>
      <c r="AT77" s="52">
        <f>+'4.1. Samtryggingard.'!AT20</f>
        <v>41905</v>
      </c>
      <c r="AU77" s="52">
        <f>+'4.1. Samtryggingard.'!AU20</f>
        <v>51369</v>
      </c>
      <c r="AV77" s="52">
        <f>+'4.1. Samtryggingard.'!AV20</f>
        <v>55768</v>
      </c>
      <c r="AW77" s="52">
        <f>+'4.1. Samtryggingard.'!AW20</f>
        <v>72411</v>
      </c>
      <c r="AX77" s="52">
        <f>+'4.1. Samtryggingard.'!AX20</f>
        <v>173722</v>
      </c>
    </row>
    <row r="78" spans="1:55" ht="12.75" customHeight="1">
      <c r="A78" s="76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</row>
    <row r="79" spans="1:241" ht="12.75" customHeight="1">
      <c r="A79" s="6" t="s">
        <v>226</v>
      </c>
      <c r="B79" s="28"/>
      <c r="C79" s="75">
        <f aca="true" t="shared" si="12" ref="C79:AX79">+C$77*C25%</f>
        <v>61969.656</v>
      </c>
      <c r="D79" s="75">
        <f t="shared" si="12"/>
        <v>10071352.242</v>
      </c>
      <c r="E79" s="75">
        <f t="shared" si="12"/>
        <v>2070506.02</v>
      </c>
      <c r="F79" s="75">
        <f t="shared" si="12"/>
        <v>2735058.879</v>
      </c>
      <c r="G79" s="75">
        <f t="shared" si="12"/>
        <v>1809.2679999999998</v>
      </c>
      <c r="H79" s="75">
        <f t="shared" si="12"/>
        <v>1326733.7599999998</v>
      </c>
      <c r="I79" s="75">
        <f t="shared" si="12"/>
        <v>0</v>
      </c>
      <c r="J79" s="75">
        <f t="shared" si="12"/>
        <v>439596.46</v>
      </c>
      <c r="K79" s="75">
        <f t="shared" si="12"/>
        <v>0</v>
      </c>
      <c r="L79" s="75">
        <f t="shared" si="12"/>
        <v>941059.9379999998</v>
      </c>
      <c r="M79" s="75">
        <f t="shared" si="12"/>
        <v>105105.042</v>
      </c>
      <c r="N79" s="75">
        <f t="shared" si="12"/>
        <v>763920.8010000001</v>
      </c>
      <c r="O79" s="75">
        <f t="shared" si="12"/>
        <v>303439.62299999996</v>
      </c>
      <c r="P79" s="75">
        <f t="shared" si="12"/>
        <v>648840.88</v>
      </c>
      <c r="Q79" s="75">
        <f t="shared" si="12"/>
        <v>713379.3030000001</v>
      </c>
      <c r="R79" s="75">
        <f t="shared" si="12"/>
        <v>14960.663999999999</v>
      </c>
      <c r="S79" s="75">
        <f t="shared" si="12"/>
        <v>266666.14</v>
      </c>
      <c r="T79" s="75">
        <f t="shared" si="12"/>
        <v>165358.93499999997</v>
      </c>
      <c r="U79" s="75">
        <f t="shared" si="12"/>
        <v>258455.987</v>
      </c>
      <c r="V79" s="75">
        <f t="shared" si="12"/>
        <v>106652.565</v>
      </c>
      <c r="W79" s="75">
        <f t="shared" si="12"/>
        <v>1355.42</v>
      </c>
      <c r="X79" s="75">
        <f t="shared" si="12"/>
        <v>171.87099999999998</v>
      </c>
      <c r="Y79" s="75">
        <f t="shared" si="12"/>
        <v>825356.8169999999</v>
      </c>
      <c r="Z79" s="75">
        <f t="shared" si="12"/>
        <v>202580.918</v>
      </c>
      <c r="AA79" s="75">
        <f t="shared" si="12"/>
        <v>535336.854</v>
      </c>
      <c r="AB79" s="75">
        <f t="shared" si="12"/>
        <v>341175.874</v>
      </c>
      <c r="AC79" s="75">
        <f t="shared" si="12"/>
        <v>1202457.26</v>
      </c>
      <c r="AD79" s="75">
        <f t="shared" si="12"/>
        <v>272294.89600000007</v>
      </c>
      <c r="AE79" s="75">
        <f t="shared" si="12"/>
        <v>136844.28</v>
      </c>
      <c r="AF79" s="75">
        <f t="shared" si="12"/>
        <v>56169.888</v>
      </c>
      <c r="AG79" s="75">
        <f t="shared" si="12"/>
        <v>104029.92</v>
      </c>
      <c r="AH79" s="75">
        <f t="shared" si="12"/>
        <v>24081.572</v>
      </c>
      <c r="AI79" s="75">
        <f t="shared" si="12"/>
        <v>93130.488</v>
      </c>
      <c r="AJ79" s="75">
        <f t="shared" si="12"/>
        <v>0</v>
      </c>
      <c r="AK79" s="75">
        <f t="shared" si="12"/>
        <v>109980.42</v>
      </c>
      <c r="AL79" s="75">
        <f t="shared" si="12"/>
        <v>171915.084</v>
      </c>
      <c r="AM79" s="75">
        <f t="shared" si="12"/>
        <v>74845.436</v>
      </c>
      <c r="AN79" s="75">
        <f t="shared" si="12"/>
        <v>62463.4</v>
      </c>
      <c r="AO79" s="75">
        <f t="shared" si="12"/>
        <v>54717.28800000001</v>
      </c>
      <c r="AP79" s="75">
        <f t="shared" si="12"/>
        <v>29288.787000000004</v>
      </c>
      <c r="AQ79" s="75">
        <f t="shared" si="12"/>
        <v>30871.338999999996</v>
      </c>
      <c r="AR79" s="75">
        <f t="shared" si="12"/>
        <v>33797.952000000005</v>
      </c>
      <c r="AS79" s="75">
        <f t="shared" si="12"/>
        <v>27017.408000000003</v>
      </c>
      <c r="AT79" s="75">
        <f t="shared" si="12"/>
        <v>31009.7</v>
      </c>
      <c r="AU79" s="75">
        <f t="shared" si="12"/>
        <v>36317.883</v>
      </c>
      <c r="AV79" s="75">
        <f t="shared" si="12"/>
        <v>39037.6</v>
      </c>
      <c r="AW79" s="75">
        <f t="shared" si="12"/>
        <v>41998.38</v>
      </c>
      <c r="AX79" s="75">
        <f t="shared" si="12"/>
        <v>123690.06400000001</v>
      </c>
      <c r="AY79" s="78"/>
      <c r="AZ79" s="79">
        <f>SUM(C79:AX79)</f>
        <v>25656802.962000012</v>
      </c>
      <c r="BA79" s="79"/>
      <c r="BB79" s="25">
        <f>SUMIF($C$60:$AX$60,"já",C79:AX79)</f>
        <v>12941883.113000002</v>
      </c>
      <c r="BC79" s="25">
        <f>SUMIF($C$60:$AX$60,"Nei",C79:AX79)</f>
        <v>12714919.849</v>
      </c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</row>
    <row r="80" spans="1:56" ht="12.75" customHeight="1">
      <c r="A80" s="6" t="s">
        <v>227</v>
      </c>
      <c r="B80" s="28"/>
      <c r="C80" s="75">
        <f aca="true" t="shared" si="13" ref="C80:H83">+C$77*C26%</f>
        <v>254518.22999999998</v>
      </c>
      <c r="D80" s="75">
        <f t="shared" si="13"/>
        <v>678662.55</v>
      </c>
      <c r="E80" s="75">
        <f t="shared" si="13"/>
        <v>937716.7759999998</v>
      </c>
      <c r="F80" s="75">
        <f t="shared" si="13"/>
        <v>1630423.106</v>
      </c>
      <c r="G80" s="75">
        <f t="shared" si="13"/>
        <v>5007.044000000001</v>
      </c>
      <c r="H80" s="75">
        <f t="shared" si="13"/>
        <v>378200.02</v>
      </c>
      <c r="I80" s="75">
        <f>+I$77*I247%</f>
        <v>0</v>
      </c>
      <c r="J80" s="75">
        <f aca="true" t="shared" si="14" ref="J80:AX80">+J$77*J26%</f>
        <v>0</v>
      </c>
      <c r="K80" s="75">
        <f t="shared" si="14"/>
        <v>68156.935</v>
      </c>
      <c r="L80" s="75">
        <f t="shared" si="14"/>
        <v>250296.77399999998</v>
      </c>
      <c r="M80" s="75">
        <f t="shared" si="14"/>
        <v>13598.496000000001</v>
      </c>
      <c r="N80" s="75">
        <f t="shared" si="14"/>
        <v>443262.6869999999</v>
      </c>
      <c r="O80" s="75">
        <f t="shared" si="14"/>
        <v>151973.1</v>
      </c>
      <c r="P80" s="75">
        <f t="shared" si="14"/>
        <v>403775.08</v>
      </c>
      <c r="Q80" s="75">
        <f t="shared" si="14"/>
        <v>53133.257</v>
      </c>
      <c r="R80" s="75">
        <f t="shared" si="14"/>
        <v>15986.336000000001</v>
      </c>
      <c r="S80" s="75">
        <f t="shared" si="14"/>
        <v>218083.24</v>
      </c>
      <c r="T80" s="75">
        <f t="shared" si="14"/>
        <v>23779.980000000003</v>
      </c>
      <c r="U80" s="75">
        <f t="shared" si="14"/>
        <v>181895.466</v>
      </c>
      <c r="V80" s="75">
        <f t="shared" si="14"/>
        <v>85799.925</v>
      </c>
      <c r="W80" s="75">
        <f t="shared" si="14"/>
        <v>3305.225</v>
      </c>
      <c r="X80" s="75">
        <f t="shared" si="14"/>
        <v>3433.4230000000002</v>
      </c>
      <c r="Y80" s="75">
        <f t="shared" si="14"/>
        <v>113474.439</v>
      </c>
      <c r="Z80" s="75">
        <f t="shared" si="14"/>
        <v>178671.15300000002</v>
      </c>
      <c r="AA80" s="75">
        <f t="shared" si="14"/>
        <v>94922.83200000001</v>
      </c>
      <c r="AB80" s="75">
        <f t="shared" si="14"/>
        <v>25527.411</v>
      </c>
      <c r="AC80" s="75">
        <f t="shared" si="14"/>
        <v>418774.85500000004</v>
      </c>
      <c r="AD80" s="75">
        <f t="shared" si="14"/>
        <v>33530.224</v>
      </c>
      <c r="AE80" s="75">
        <f t="shared" si="14"/>
        <v>333.36</v>
      </c>
      <c r="AF80" s="75">
        <f t="shared" si="14"/>
        <v>25023.551999999996</v>
      </c>
      <c r="AG80" s="75">
        <f t="shared" si="14"/>
        <v>13569.119999999999</v>
      </c>
      <c r="AH80" s="75">
        <f t="shared" si="14"/>
        <v>0</v>
      </c>
      <c r="AI80" s="75">
        <f t="shared" si="14"/>
        <v>1411.068</v>
      </c>
      <c r="AJ80" s="75">
        <f t="shared" si="14"/>
        <v>1159.114</v>
      </c>
      <c r="AK80" s="75">
        <f t="shared" si="14"/>
        <v>14560.788</v>
      </c>
      <c r="AL80" s="75">
        <f t="shared" si="14"/>
        <v>14939.145</v>
      </c>
      <c r="AM80" s="75">
        <f t="shared" si="14"/>
        <v>3340.5080000000003</v>
      </c>
      <c r="AN80" s="75">
        <f t="shared" si="14"/>
        <v>9285.1</v>
      </c>
      <c r="AO80" s="75">
        <f t="shared" si="14"/>
        <v>9813</v>
      </c>
      <c r="AP80" s="75">
        <f t="shared" si="14"/>
        <v>2417.613</v>
      </c>
      <c r="AQ80" s="75">
        <f t="shared" si="14"/>
        <v>1937.7160000000001</v>
      </c>
      <c r="AR80" s="75">
        <f t="shared" si="14"/>
        <v>3677.092</v>
      </c>
      <c r="AS80" s="75">
        <f t="shared" si="14"/>
        <v>1765.3419999999999</v>
      </c>
      <c r="AT80" s="75">
        <f t="shared" si="14"/>
        <v>419.05</v>
      </c>
      <c r="AU80" s="75">
        <f t="shared" si="14"/>
        <v>6061.542</v>
      </c>
      <c r="AV80" s="75">
        <f t="shared" si="14"/>
        <v>2788.4</v>
      </c>
      <c r="AW80" s="75">
        <f t="shared" si="14"/>
        <v>9123.786</v>
      </c>
      <c r="AX80" s="75">
        <f t="shared" si="14"/>
        <v>5037.938</v>
      </c>
      <c r="AY80" s="68"/>
      <c r="AZ80" s="79">
        <f>SUM(C80:AX80)</f>
        <v>6792571.798000003</v>
      </c>
      <c r="BA80" s="12"/>
      <c r="BB80" s="25">
        <f>SUMIF($C$60:$AX$60,"já",C80:AX80)</f>
        <v>1279327.9239999999</v>
      </c>
      <c r="BC80" s="25">
        <f>SUMIF($C$60:$AX$60,"Nei",C80:AX80)</f>
        <v>5513243.874000002</v>
      </c>
      <c r="BD80" s="75"/>
    </row>
    <row r="81" spans="1:56" ht="12.75" customHeight="1">
      <c r="A81" s="6" t="s">
        <v>228</v>
      </c>
      <c r="B81" s="28"/>
      <c r="C81" s="75">
        <f t="shared" si="13"/>
        <v>18443.350000000002</v>
      </c>
      <c r="D81" s="75">
        <f t="shared" si="13"/>
        <v>2809662.957</v>
      </c>
      <c r="E81" s="75">
        <f t="shared" si="13"/>
        <v>331965.42799999996</v>
      </c>
      <c r="F81" s="75">
        <f t="shared" si="13"/>
        <v>376251.486</v>
      </c>
      <c r="G81" s="75">
        <f t="shared" si="13"/>
        <v>1209.685</v>
      </c>
      <c r="H81" s="75">
        <f t="shared" si="13"/>
        <v>287189.31999999995</v>
      </c>
      <c r="I81" s="75">
        <f>+I$77*I27%</f>
        <v>0</v>
      </c>
      <c r="J81" s="75">
        <f aca="true" t="shared" si="15" ref="J81:AX81">+J$77*J27%</f>
        <v>68607.54000000001</v>
      </c>
      <c r="K81" s="75">
        <f t="shared" si="15"/>
        <v>913.836</v>
      </c>
      <c r="L81" s="75">
        <f t="shared" si="15"/>
        <v>192966.228</v>
      </c>
      <c r="M81" s="75">
        <f t="shared" si="15"/>
        <v>2124.765</v>
      </c>
      <c r="N81" s="75">
        <f t="shared" si="15"/>
        <v>106436.937</v>
      </c>
      <c r="O81" s="75">
        <f t="shared" si="15"/>
        <v>40019.583</v>
      </c>
      <c r="P81" s="75">
        <f t="shared" si="15"/>
        <v>85189.54</v>
      </c>
      <c r="Q81" s="75">
        <f t="shared" si="15"/>
        <v>103653.403</v>
      </c>
      <c r="R81" s="75">
        <f t="shared" si="15"/>
        <v>3890.48</v>
      </c>
      <c r="S81" s="75">
        <f t="shared" si="15"/>
        <v>45883.850000000006</v>
      </c>
      <c r="T81" s="75">
        <f t="shared" si="15"/>
        <v>25981.83</v>
      </c>
      <c r="U81" s="75">
        <f t="shared" si="15"/>
        <v>59090.335</v>
      </c>
      <c r="V81" s="75">
        <f t="shared" si="15"/>
        <v>9340.244999999999</v>
      </c>
      <c r="W81" s="75">
        <f t="shared" si="15"/>
        <v>33.33</v>
      </c>
      <c r="X81" s="75">
        <f t="shared" si="15"/>
        <v>391.706</v>
      </c>
      <c r="Y81" s="75">
        <f t="shared" si="15"/>
        <v>29096.01</v>
      </c>
      <c r="Z81" s="75">
        <f t="shared" si="15"/>
        <v>44776.469000000005</v>
      </c>
      <c r="AA81" s="75">
        <f t="shared" si="15"/>
        <v>58628.808000000005</v>
      </c>
      <c r="AB81" s="75">
        <f t="shared" si="15"/>
        <v>36467.729999999996</v>
      </c>
      <c r="AC81" s="75">
        <f t="shared" si="15"/>
        <v>112947.575</v>
      </c>
      <c r="AD81" s="75">
        <f t="shared" si="15"/>
        <v>56743.456</v>
      </c>
      <c r="AE81" s="75">
        <f t="shared" si="15"/>
        <v>29502.359999999997</v>
      </c>
      <c r="AF81" s="75">
        <f t="shared" si="15"/>
        <v>5679.104</v>
      </c>
      <c r="AG81" s="75">
        <f t="shared" si="15"/>
        <v>33018.191999999995</v>
      </c>
      <c r="AH81" s="75">
        <f t="shared" si="15"/>
        <v>5250.428</v>
      </c>
      <c r="AI81" s="75">
        <f t="shared" si="15"/>
        <v>23047.444</v>
      </c>
      <c r="AJ81" s="75">
        <f t="shared" si="15"/>
        <v>626.8860000000001</v>
      </c>
      <c r="AK81" s="75">
        <f t="shared" si="15"/>
        <v>29586.282</v>
      </c>
      <c r="AL81" s="75">
        <f t="shared" si="15"/>
        <v>42289.272</v>
      </c>
      <c r="AM81" s="75">
        <f t="shared" si="15"/>
        <v>11736.92</v>
      </c>
      <c r="AN81" s="75">
        <f t="shared" si="15"/>
        <v>12661.5</v>
      </c>
      <c r="AO81" s="75">
        <f t="shared" si="15"/>
        <v>13816.704000000002</v>
      </c>
      <c r="AP81" s="75">
        <f t="shared" si="15"/>
        <v>7926.6</v>
      </c>
      <c r="AQ81" s="75">
        <f t="shared" si="15"/>
        <v>10789.555</v>
      </c>
      <c r="AR81" s="75">
        <f t="shared" si="15"/>
        <v>1564.72</v>
      </c>
      <c r="AS81" s="75">
        <f t="shared" si="15"/>
        <v>9594.25</v>
      </c>
      <c r="AT81" s="75">
        <f t="shared" si="15"/>
        <v>10476.25</v>
      </c>
      <c r="AU81" s="75">
        <f t="shared" si="15"/>
        <v>8681.360999999999</v>
      </c>
      <c r="AV81" s="75">
        <f t="shared" si="15"/>
        <v>13942</v>
      </c>
      <c r="AW81" s="75">
        <f t="shared" si="15"/>
        <v>20709.546000000002</v>
      </c>
      <c r="AX81" s="75">
        <f t="shared" si="15"/>
        <v>44646.554000000004</v>
      </c>
      <c r="AY81" s="46"/>
      <c r="AZ81" s="79">
        <f>SUM(C81:AX81)</f>
        <v>5243451.8100000005</v>
      </c>
      <c r="BA81" s="46"/>
      <c r="BB81" s="25">
        <f>SUMIF($C$60:$AX$60,"já",C81:AX81)</f>
        <v>3179794.5689999997</v>
      </c>
      <c r="BC81" s="25">
        <f>SUMIF($C$60:$AX$60,"Nei",C81:AX81)</f>
        <v>2063657.2409999997</v>
      </c>
      <c r="BD81" s="75"/>
    </row>
    <row r="82" spans="1:56" ht="12.75" customHeight="1">
      <c r="A82" s="6" t="s">
        <v>229</v>
      </c>
      <c r="B82" s="28"/>
      <c r="C82" s="75">
        <f t="shared" si="13"/>
        <v>33935.764</v>
      </c>
      <c r="D82" s="75">
        <f t="shared" si="13"/>
        <v>13573.251</v>
      </c>
      <c r="E82" s="75">
        <f t="shared" si="13"/>
        <v>82135.776</v>
      </c>
      <c r="F82" s="75">
        <f t="shared" si="13"/>
        <v>82003.52900000001</v>
      </c>
      <c r="G82" s="75">
        <f t="shared" si="13"/>
        <v>715.292</v>
      </c>
      <c r="H82" s="75">
        <f t="shared" si="13"/>
        <v>30336.899999999998</v>
      </c>
      <c r="I82" s="75">
        <f>+I$77*I28%</f>
        <v>0</v>
      </c>
      <c r="J82" s="75">
        <f aca="true" t="shared" si="16" ref="J82:AX82">+J$77*J28%</f>
        <v>0</v>
      </c>
      <c r="K82" s="75">
        <f t="shared" si="16"/>
        <v>7082.229000000001</v>
      </c>
      <c r="L82" s="75">
        <f t="shared" si="16"/>
        <v>13983.06</v>
      </c>
      <c r="M82" s="75">
        <f t="shared" si="16"/>
        <v>1274.8590000000002</v>
      </c>
      <c r="N82" s="75">
        <f t="shared" si="16"/>
        <v>33682.575000000004</v>
      </c>
      <c r="O82" s="75">
        <f t="shared" si="16"/>
        <v>11144.694000000001</v>
      </c>
      <c r="P82" s="75">
        <f t="shared" si="16"/>
        <v>29174.5</v>
      </c>
      <c r="Q82" s="75">
        <f t="shared" si="16"/>
        <v>871.037</v>
      </c>
      <c r="R82" s="75">
        <f t="shared" si="16"/>
        <v>530.52</v>
      </c>
      <c r="S82" s="75">
        <f t="shared" si="16"/>
        <v>9176.77</v>
      </c>
      <c r="T82" s="75">
        <f t="shared" si="16"/>
        <v>5064.255</v>
      </c>
      <c r="U82" s="75">
        <f t="shared" si="16"/>
        <v>14387.211999999998</v>
      </c>
      <c r="V82" s="75">
        <f t="shared" si="16"/>
        <v>15422.265</v>
      </c>
      <c r="W82" s="75">
        <f t="shared" si="16"/>
        <v>861.025</v>
      </c>
      <c r="X82" s="75">
        <f t="shared" si="16"/>
        <v>0</v>
      </c>
      <c r="Y82" s="75">
        <f t="shared" si="16"/>
        <v>1939.7340000000002</v>
      </c>
      <c r="Z82" s="75">
        <f t="shared" si="16"/>
        <v>8694.460000000001</v>
      </c>
      <c r="AA82" s="75">
        <f t="shared" si="16"/>
        <v>9073.506000000001</v>
      </c>
      <c r="AB82" s="75">
        <f t="shared" si="16"/>
        <v>2025.9850000000001</v>
      </c>
      <c r="AC82" s="75">
        <f t="shared" si="16"/>
        <v>3475.31</v>
      </c>
      <c r="AD82" s="75">
        <f t="shared" si="16"/>
        <v>5895.424</v>
      </c>
      <c r="AE82" s="75">
        <f t="shared" si="16"/>
        <v>0</v>
      </c>
      <c r="AF82" s="75">
        <f t="shared" si="16"/>
        <v>1863.4560000000001</v>
      </c>
      <c r="AG82" s="75">
        <f t="shared" si="16"/>
        <v>150.768</v>
      </c>
      <c r="AH82" s="75">
        <f t="shared" si="16"/>
        <v>0</v>
      </c>
      <c r="AI82" s="75">
        <f t="shared" si="16"/>
        <v>0</v>
      </c>
      <c r="AJ82" s="75">
        <f t="shared" si="16"/>
        <v>0</v>
      </c>
      <c r="AK82" s="75">
        <f t="shared" si="16"/>
        <v>774.51</v>
      </c>
      <c r="AL82" s="75">
        <f t="shared" si="16"/>
        <v>689.499</v>
      </c>
      <c r="AM82" s="75">
        <f t="shared" si="16"/>
        <v>361.136</v>
      </c>
      <c r="AN82" s="75">
        <f t="shared" si="16"/>
        <v>0</v>
      </c>
      <c r="AO82" s="75">
        <f t="shared" si="16"/>
        <v>157.008</v>
      </c>
      <c r="AP82" s="75">
        <f t="shared" si="16"/>
        <v>0</v>
      </c>
      <c r="AQ82" s="75">
        <f t="shared" si="16"/>
        <v>440.39</v>
      </c>
      <c r="AR82" s="75">
        <f t="shared" si="16"/>
        <v>78.236</v>
      </c>
      <c r="AS82" s="75">
        <f t="shared" si="16"/>
        <v>0</v>
      </c>
      <c r="AT82" s="75">
        <f t="shared" si="16"/>
        <v>0</v>
      </c>
      <c r="AU82" s="75">
        <f t="shared" si="16"/>
        <v>308.214</v>
      </c>
      <c r="AV82" s="75">
        <f t="shared" si="16"/>
        <v>0</v>
      </c>
      <c r="AW82" s="75">
        <f t="shared" si="16"/>
        <v>579.288</v>
      </c>
      <c r="AX82" s="75">
        <f t="shared" si="16"/>
        <v>347.444</v>
      </c>
      <c r="AY82" s="46"/>
      <c r="AZ82" s="79">
        <f>SUM(C82:AX82)</f>
        <v>422209.88100000005</v>
      </c>
      <c r="BA82" s="46"/>
      <c r="BB82" s="25">
        <f>SUMIF($C$60:$AX$60,"já",C82:AX82)</f>
        <v>22205.394</v>
      </c>
      <c r="BC82" s="25">
        <f>SUMIF($C$60:$AX$60,"Nei",C82:AX82)</f>
        <v>400004.4870000001</v>
      </c>
      <c r="BD82" s="75"/>
    </row>
    <row r="83" spans="1:56" ht="12.75" customHeight="1">
      <c r="A83" s="6" t="s">
        <v>230</v>
      </c>
      <c r="B83" s="28"/>
      <c r="C83" s="92">
        <f t="shared" si="13"/>
        <v>0</v>
      </c>
      <c r="D83" s="92">
        <f t="shared" si="13"/>
        <v>0</v>
      </c>
      <c r="E83" s="92">
        <f t="shared" si="13"/>
        <v>0</v>
      </c>
      <c r="F83" s="92">
        <f t="shared" si="13"/>
        <v>0</v>
      </c>
      <c r="G83" s="92">
        <f t="shared" si="13"/>
        <v>1777.7109999999998</v>
      </c>
      <c r="H83" s="92">
        <f t="shared" si="13"/>
        <v>0</v>
      </c>
      <c r="I83" s="92">
        <f>+I$77*I29%</f>
        <v>0</v>
      </c>
      <c r="J83" s="92">
        <f aca="true" t="shared" si="17" ref="J83:AX83">+J$77*J29%</f>
        <v>0</v>
      </c>
      <c r="K83" s="92">
        <f t="shared" si="17"/>
        <v>0</v>
      </c>
      <c r="L83" s="92">
        <f t="shared" si="17"/>
        <v>0</v>
      </c>
      <c r="M83" s="92">
        <f t="shared" si="17"/>
        <v>19547.838000000003</v>
      </c>
      <c r="N83" s="92">
        <f t="shared" si="17"/>
        <v>0</v>
      </c>
      <c r="O83" s="92">
        <f t="shared" si="17"/>
        <v>0</v>
      </c>
      <c r="P83" s="92">
        <f t="shared" si="17"/>
        <v>0</v>
      </c>
      <c r="Q83" s="92">
        <f t="shared" si="17"/>
        <v>0</v>
      </c>
      <c r="R83" s="92">
        <f t="shared" si="17"/>
        <v>0</v>
      </c>
      <c r="S83" s="92">
        <f t="shared" si="17"/>
        <v>0</v>
      </c>
      <c r="T83" s="92">
        <f t="shared" si="17"/>
        <v>0</v>
      </c>
      <c r="U83" s="92">
        <f t="shared" si="17"/>
        <v>0</v>
      </c>
      <c r="V83" s="92">
        <f t="shared" si="17"/>
        <v>0</v>
      </c>
      <c r="W83" s="92">
        <f t="shared" si="17"/>
        <v>0</v>
      </c>
      <c r="X83" s="92">
        <f t="shared" si="17"/>
        <v>0</v>
      </c>
      <c r="Y83" s="92">
        <f t="shared" si="17"/>
        <v>0</v>
      </c>
      <c r="Z83" s="92">
        <f t="shared" si="17"/>
        <v>0</v>
      </c>
      <c r="AA83" s="92">
        <f t="shared" si="17"/>
        <v>0</v>
      </c>
      <c r="AB83" s="92">
        <f t="shared" si="17"/>
        <v>0</v>
      </c>
      <c r="AC83" s="92">
        <f t="shared" si="17"/>
        <v>0</v>
      </c>
      <c r="AD83" s="92">
        <f t="shared" si="17"/>
        <v>0</v>
      </c>
      <c r="AE83" s="92">
        <f t="shared" si="17"/>
        <v>0</v>
      </c>
      <c r="AF83" s="92">
        <f t="shared" si="17"/>
        <v>0</v>
      </c>
      <c r="AG83" s="92">
        <f t="shared" si="17"/>
        <v>0</v>
      </c>
      <c r="AH83" s="92">
        <f t="shared" si="17"/>
        <v>0</v>
      </c>
      <c r="AI83" s="92">
        <f t="shared" si="17"/>
        <v>0</v>
      </c>
      <c r="AJ83" s="92">
        <f t="shared" si="17"/>
        <v>0</v>
      </c>
      <c r="AK83" s="92">
        <f t="shared" si="17"/>
        <v>0</v>
      </c>
      <c r="AL83" s="92">
        <f t="shared" si="17"/>
        <v>0</v>
      </c>
      <c r="AM83" s="92">
        <f t="shared" si="17"/>
        <v>0</v>
      </c>
      <c r="AN83" s="92">
        <f t="shared" si="17"/>
        <v>0</v>
      </c>
      <c r="AO83" s="92">
        <f t="shared" si="17"/>
        <v>0</v>
      </c>
      <c r="AP83" s="92">
        <f t="shared" si="17"/>
        <v>0</v>
      </c>
      <c r="AQ83" s="92">
        <f t="shared" si="17"/>
        <v>0</v>
      </c>
      <c r="AR83" s="92">
        <f t="shared" si="17"/>
        <v>0</v>
      </c>
      <c r="AS83" s="92">
        <f t="shared" si="17"/>
        <v>0</v>
      </c>
      <c r="AT83" s="92">
        <f t="shared" si="17"/>
        <v>0</v>
      </c>
      <c r="AU83" s="92">
        <f t="shared" si="17"/>
        <v>0</v>
      </c>
      <c r="AV83" s="92">
        <f t="shared" si="17"/>
        <v>0</v>
      </c>
      <c r="AW83" s="92">
        <f t="shared" si="17"/>
        <v>0</v>
      </c>
      <c r="AX83" s="92">
        <f t="shared" si="17"/>
        <v>0</v>
      </c>
      <c r="AY83" s="46"/>
      <c r="AZ83" s="101">
        <f>SUM(C83:AX83)</f>
        <v>21325.549000000003</v>
      </c>
      <c r="BA83" s="46"/>
      <c r="BB83" s="103">
        <f>SUMIF($C$60:$AX$60,"já",C83:AX83)</f>
        <v>0</v>
      </c>
      <c r="BC83" s="103">
        <f>SUMIF($C$60:$AX$60,"Nei",C83:AX83)</f>
        <v>21325.549000000003</v>
      </c>
      <c r="BD83" s="75"/>
    </row>
    <row r="84" spans="1:71" ht="12.75" customHeight="1">
      <c r="A84" s="76" t="s">
        <v>231</v>
      </c>
      <c r="B84" s="77"/>
      <c r="C84" s="46">
        <f aca="true" t="shared" si="18" ref="C84:AX84">SUM(C79:C83)</f>
        <v>368867</v>
      </c>
      <c r="D84" s="46">
        <f t="shared" si="18"/>
        <v>13573251.000000002</v>
      </c>
      <c r="E84" s="46">
        <f t="shared" si="18"/>
        <v>3422324</v>
      </c>
      <c r="F84" s="46">
        <f t="shared" si="18"/>
        <v>4823737</v>
      </c>
      <c r="G84" s="46">
        <f t="shared" si="18"/>
        <v>10519</v>
      </c>
      <c r="H84" s="46">
        <f t="shared" si="18"/>
        <v>2022459.9999999995</v>
      </c>
      <c r="I84" s="46">
        <f t="shared" si="18"/>
        <v>0</v>
      </c>
      <c r="J84" s="46">
        <f t="shared" si="18"/>
        <v>508204</v>
      </c>
      <c r="K84" s="46">
        <f t="shared" si="18"/>
        <v>76153</v>
      </c>
      <c r="L84" s="46">
        <f t="shared" si="18"/>
        <v>1398306</v>
      </c>
      <c r="M84" s="46">
        <f t="shared" si="18"/>
        <v>141651</v>
      </c>
      <c r="N84" s="46">
        <f t="shared" si="18"/>
        <v>1347302.9999999998</v>
      </c>
      <c r="O84" s="46">
        <f t="shared" si="18"/>
        <v>506577</v>
      </c>
      <c r="P84" s="46">
        <f t="shared" si="18"/>
        <v>1166980</v>
      </c>
      <c r="Q84" s="46">
        <f t="shared" si="18"/>
        <v>871037.0000000001</v>
      </c>
      <c r="R84" s="46">
        <f t="shared" si="18"/>
        <v>35368</v>
      </c>
      <c r="S84" s="46">
        <f t="shared" si="18"/>
        <v>539810</v>
      </c>
      <c r="T84" s="46">
        <f t="shared" si="18"/>
        <v>220185</v>
      </c>
      <c r="U84" s="46">
        <f t="shared" si="18"/>
        <v>513829</v>
      </c>
      <c r="V84" s="46">
        <f t="shared" si="18"/>
        <v>217215</v>
      </c>
      <c r="W84" s="46">
        <f t="shared" si="18"/>
        <v>5555</v>
      </c>
      <c r="X84" s="46">
        <f t="shared" si="18"/>
        <v>3997.0000000000005</v>
      </c>
      <c r="Y84" s="46">
        <f t="shared" si="18"/>
        <v>969867</v>
      </c>
      <c r="Z84" s="46">
        <f t="shared" si="18"/>
        <v>434723</v>
      </c>
      <c r="AA84" s="46">
        <f t="shared" si="18"/>
        <v>697962.0000000001</v>
      </c>
      <c r="AB84" s="46">
        <f t="shared" si="18"/>
        <v>405197</v>
      </c>
      <c r="AC84" s="46">
        <f t="shared" si="18"/>
        <v>1737655</v>
      </c>
      <c r="AD84" s="46">
        <f t="shared" si="18"/>
        <v>368464.00000000006</v>
      </c>
      <c r="AE84" s="46">
        <f t="shared" si="18"/>
        <v>166679.99999999997</v>
      </c>
      <c r="AF84" s="46">
        <f t="shared" si="18"/>
        <v>88736.00000000001</v>
      </c>
      <c r="AG84" s="46">
        <f t="shared" si="18"/>
        <v>150768</v>
      </c>
      <c r="AH84" s="46">
        <f t="shared" si="18"/>
        <v>29332</v>
      </c>
      <c r="AI84" s="46">
        <f t="shared" si="18"/>
        <v>117589</v>
      </c>
      <c r="AJ84" s="46">
        <f t="shared" si="18"/>
        <v>1786</v>
      </c>
      <c r="AK84" s="46">
        <f t="shared" si="18"/>
        <v>154902</v>
      </c>
      <c r="AL84" s="46">
        <f t="shared" si="18"/>
        <v>229833</v>
      </c>
      <c r="AM84" s="46">
        <f t="shared" si="18"/>
        <v>90284</v>
      </c>
      <c r="AN84" s="46">
        <f t="shared" si="18"/>
        <v>84410</v>
      </c>
      <c r="AO84" s="46">
        <f t="shared" si="18"/>
        <v>78504.00000000001</v>
      </c>
      <c r="AP84" s="46">
        <f t="shared" si="18"/>
        <v>39633.00000000001</v>
      </c>
      <c r="AQ84" s="46">
        <f t="shared" si="18"/>
        <v>44038.99999999999</v>
      </c>
      <c r="AR84" s="46">
        <f t="shared" si="18"/>
        <v>39118</v>
      </c>
      <c r="AS84" s="46">
        <f t="shared" si="18"/>
        <v>38377</v>
      </c>
      <c r="AT84" s="46">
        <f t="shared" si="18"/>
        <v>41905</v>
      </c>
      <c r="AU84" s="46">
        <f t="shared" si="18"/>
        <v>51369</v>
      </c>
      <c r="AV84" s="46">
        <f t="shared" si="18"/>
        <v>55768</v>
      </c>
      <c r="AW84" s="46">
        <f t="shared" si="18"/>
        <v>72411</v>
      </c>
      <c r="AX84" s="46">
        <f t="shared" si="18"/>
        <v>173722</v>
      </c>
      <c r="AY84" s="46"/>
      <c r="AZ84" s="46">
        <f>SUM(AZ79:AZ83)</f>
        <v>38136362.000000015</v>
      </c>
      <c r="BA84" s="46"/>
      <c r="BB84" s="46">
        <f>SUM(BB79:BB83)</f>
        <v>17423211.000000004</v>
      </c>
      <c r="BC84" s="46">
        <f>SUM(BC79:BC83)</f>
        <v>20713151</v>
      </c>
      <c r="BD84" s="75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241" s="26" customFormat="1" ht="12.75" customHeight="1" thickBot="1">
      <c r="A85" s="111"/>
      <c r="B85" s="112"/>
      <c r="C85" s="109">
        <f aca="true" t="shared" si="19" ref="C85:AX85">+C84-C77</f>
        <v>0</v>
      </c>
      <c r="D85" s="109">
        <f t="shared" si="19"/>
        <v>0</v>
      </c>
      <c r="E85" s="109">
        <f t="shared" si="19"/>
        <v>0</v>
      </c>
      <c r="F85" s="109">
        <f t="shared" si="19"/>
        <v>0</v>
      </c>
      <c r="G85" s="109">
        <f t="shared" si="19"/>
        <v>0</v>
      </c>
      <c r="H85" s="109">
        <f t="shared" si="19"/>
        <v>0</v>
      </c>
      <c r="I85" s="109">
        <f t="shared" si="19"/>
        <v>0</v>
      </c>
      <c r="J85" s="109">
        <f t="shared" si="19"/>
        <v>0</v>
      </c>
      <c r="K85" s="109">
        <f t="shared" si="19"/>
        <v>0</v>
      </c>
      <c r="L85" s="109">
        <f t="shared" si="19"/>
        <v>0</v>
      </c>
      <c r="M85" s="109">
        <f t="shared" si="19"/>
        <v>0</v>
      </c>
      <c r="N85" s="109">
        <f t="shared" si="19"/>
        <v>0</v>
      </c>
      <c r="O85" s="109">
        <f t="shared" si="19"/>
        <v>0</v>
      </c>
      <c r="P85" s="109">
        <f t="shared" si="19"/>
        <v>0</v>
      </c>
      <c r="Q85" s="109">
        <f t="shared" si="19"/>
        <v>0</v>
      </c>
      <c r="R85" s="109">
        <f t="shared" si="19"/>
        <v>0</v>
      </c>
      <c r="S85" s="109">
        <f t="shared" si="19"/>
        <v>0</v>
      </c>
      <c r="T85" s="109">
        <f t="shared" si="19"/>
        <v>0</v>
      </c>
      <c r="U85" s="109">
        <f t="shared" si="19"/>
        <v>0</v>
      </c>
      <c r="V85" s="109">
        <f t="shared" si="19"/>
        <v>0</v>
      </c>
      <c r="W85" s="109">
        <f t="shared" si="19"/>
        <v>0</v>
      </c>
      <c r="X85" s="109">
        <f t="shared" si="19"/>
        <v>0</v>
      </c>
      <c r="Y85" s="109">
        <f t="shared" si="19"/>
        <v>0</v>
      </c>
      <c r="Z85" s="109">
        <f t="shared" si="19"/>
        <v>0</v>
      </c>
      <c r="AA85" s="109">
        <f t="shared" si="19"/>
        <v>0</v>
      </c>
      <c r="AB85" s="109">
        <f t="shared" si="19"/>
        <v>0</v>
      </c>
      <c r="AC85" s="109">
        <f t="shared" si="19"/>
        <v>0</v>
      </c>
      <c r="AD85" s="109">
        <f t="shared" si="19"/>
        <v>0</v>
      </c>
      <c r="AE85" s="109">
        <f t="shared" si="19"/>
        <v>0</v>
      </c>
      <c r="AF85" s="109">
        <f t="shared" si="19"/>
        <v>0</v>
      </c>
      <c r="AG85" s="109">
        <f t="shared" si="19"/>
        <v>0</v>
      </c>
      <c r="AH85" s="109">
        <f t="shared" si="19"/>
        <v>0</v>
      </c>
      <c r="AI85" s="109">
        <f t="shared" si="19"/>
        <v>0</v>
      </c>
      <c r="AJ85" s="109">
        <f t="shared" si="19"/>
        <v>0</v>
      </c>
      <c r="AK85" s="109">
        <f t="shared" si="19"/>
        <v>0</v>
      </c>
      <c r="AL85" s="109">
        <f t="shared" si="19"/>
        <v>0</v>
      </c>
      <c r="AM85" s="109">
        <f t="shared" si="19"/>
        <v>0</v>
      </c>
      <c r="AN85" s="109">
        <f t="shared" si="19"/>
        <v>0</v>
      </c>
      <c r="AO85" s="109">
        <f t="shared" si="19"/>
        <v>0</v>
      </c>
      <c r="AP85" s="109">
        <f t="shared" si="19"/>
        <v>0</v>
      </c>
      <c r="AQ85" s="109">
        <f t="shared" si="19"/>
        <v>0</v>
      </c>
      <c r="AR85" s="109">
        <f t="shared" si="19"/>
        <v>0</v>
      </c>
      <c r="AS85" s="109">
        <f t="shared" si="19"/>
        <v>0</v>
      </c>
      <c r="AT85" s="109">
        <f t="shared" si="19"/>
        <v>0</v>
      </c>
      <c r="AU85" s="109">
        <f t="shared" si="19"/>
        <v>0</v>
      </c>
      <c r="AV85" s="109">
        <f t="shared" si="19"/>
        <v>0</v>
      </c>
      <c r="AW85" s="109">
        <f t="shared" si="19"/>
        <v>0</v>
      </c>
      <c r="AX85" s="109">
        <f t="shared" si="19"/>
        <v>0</v>
      </c>
      <c r="AY85" s="109"/>
      <c r="AZ85" s="109">
        <f>+AZ84-'4.1. Samtryggingard.'!AZ20</f>
        <v>0</v>
      </c>
      <c r="BA85" s="109"/>
      <c r="BB85" s="109">
        <f>+BB84-'4.1. Samtryggingard.'!BB20</f>
        <v>0</v>
      </c>
      <c r="BC85" s="109">
        <f>+BC84-'4.1. Samtryggingard.'!BC20</f>
        <v>0</v>
      </c>
      <c r="BD85" s="5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</row>
    <row r="86" spans="1:71" ht="12.75" customHeight="1">
      <c r="A86" s="14" t="s">
        <v>232</v>
      </c>
      <c r="B86" s="2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52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12.75" customHeight="1">
      <c r="A87" s="12" t="s">
        <v>259</v>
      </c>
      <c r="B87" s="28"/>
      <c r="C87" s="46">
        <f>+'4.1. Samtryggingard.'!C86</f>
        <v>90393345</v>
      </c>
      <c r="D87" s="46">
        <f>+'4.1. Samtryggingard.'!D86</f>
        <v>186549661</v>
      </c>
      <c r="E87" s="46">
        <f>+'4.1. Samtryggingard.'!E86</f>
        <v>230380604</v>
      </c>
      <c r="F87" s="46">
        <f>+'4.1. Samtryggingard.'!F86</f>
        <v>213856388</v>
      </c>
      <c r="G87" s="46">
        <f>+'4.1. Samtryggingard.'!G86</f>
        <v>0</v>
      </c>
      <c r="H87" s="46">
        <f>+'4.1. Samtryggingard.'!H86</f>
        <v>84803721</v>
      </c>
      <c r="I87" s="46">
        <f>+'4.1. Samtryggingard.'!I86</f>
        <v>22650530</v>
      </c>
      <c r="J87" s="46">
        <f>+'4.1. Samtryggingard.'!J86</f>
        <v>5727929</v>
      </c>
      <c r="K87" s="46">
        <f>+'4.1. Samtryggingard.'!K86</f>
        <v>7474725</v>
      </c>
      <c r="L87" s="46">
        <f>+'4.1. Samtryggingard.'!L86</f>
        <v>70820019</v>
      </c>
      <c r="M87" s="46">
        <f>+'4.1. Samtryggingard.'!M86</f>
        <v>10996872</v>
      </c>
      <c r="N87" s="46">
        <f>+'4.1. Samtryggingard.'!N86</f>
        <v>54222456</v>
      </c>
      <c r="O87" s="46">
        <f>+'4.1. Samtryggingard.'!O86</f>
        <v>49620384</v>
      </c>
      <c r="P87" s="46">
        <f>+'4.1. Samtryggingard.'!P86</f>
        <v>48441817</v>
      </c>
      <c r="Q87" s="46">
        <f>+'4.1. Samtryggingard.'!Q86</f>
        <v>24845219</v>
      </c>
      <c r="R87" s="46">
        <f>+'4.1. Samtryggingard.'!R86</f>
        <v>9971386</v>
      </c>
      <c r="S87" s="46">
        <f>+'4.1. Samtryggingard.'!S86</f>
        <v>26784602</v>
      </c>
      <c r="T87" s="46">
        <f>+'4.1. Samtryggingard.'!T86</f>
        <v>25563285</v>
      </c>
      <c r="U87" s="46">
        <f>+'4.1. Samtryggingard.'!U86</f>
        <v>25711711</v>
      </c>
      <c r="V87" s="46">
        <f>+'4.1. Samtryggingard.'!V86</f>
        <v>19850229</v>
      </c>
      <c r="W87" s="46">
        <f>+'4.1. Samtryggingard.'!W86</f>
        <v>1863458</v>
      </c>
      <c r="X87" s="46">
        <f>+'4.1. Samtryggingard.'!X86</f>
        <v>2380958</v>
      </c>
      <c r="Y87" s="46">
        <f>+'4.1. Samtryggingard.'!Y86</f>
        <v>22340867</v>
      </c>
      <c r="Z87" s="46">
        <f>+'4.1. Samtryggingard.'!Z86</f>
        <v>21244411</v>
      </c>
      <c r="AA87" s="46">
        <f>+'4.1. Samtryggingard.'!AA86</f>
        <v>20854410</v>
      </c>
      <c r="AB87" s="46">
        <f>+'4.1. Samtryggingard.'!AB86</f>
        <v>14025187</v>
      </c>
      <c r="AC87" s="46">
        <f>+'4.1. Samtryggingard.'!AC86</f>
        <v>9373973</v>
      </c>
      <c r="AD87" s="46">
        <f>+'4.1. Samtryggingard.'!AD86</f>
        <v>11909670</v>
      </c>
      <c r="AE87" s="46">
        <f>+'4.1. Samtryggingard.'!AE86</f>
        <v>6790232</v>
      </c>
      <c r="AF87" s="46">
        <f>+'4.1. Samtryggingard.'!AF86</f>
        <v>3444285</v>
      </c>
      <c r="AG87" s="46">
        <f>+'4.1. Samtryggingard.'!AG86</f>
        <v>3640437</v>
      </c>
      <c r="AH87" s="46">
        <f>+'4.1. Samtryggingard.'!AH86</f>
        <v>171195</v>
      </c>
      <c r="AI87" s="46">
        <f>+'4.1. Samtryggingard.'!AI86</f>
        <v>2887684</v>
      </c>
      <c r="AJ87" s="46">
        <f>+'4.1. Samtryggingard.'!AJ86</f>
        <v>319265</v>
      </c>
      <c r="AK87" s="46">
        <f>+'4.1. Samtryggingard.'!AK86</f>
        <v>2360468</v>
      </c>
      <c r="AL87" s="46">
        <f>+'4.1. Samtryggingard.'!AL86</f>
        <v>2365048</v>
      </c>
      <c r="AM87" s="46">
        <f>+'4.1. Samtryggingard.'!AM86</f>
        <v>2165780</v>
      </c>
      <c r="AN87" s="46">
        <f>+'4.1. Samtryggingard.'!AN86</f>
        <v>1763299</v>
      </c>
      <c r="AO87" s="46">
        <f>+'4.1. Samtryggingard.'!AO86</f>
        <v>1125243</v>
      </c>
      <c r="AP87" s="46">
        <f>+'4.1. Samtryggingard.'!AP86</f>
        <v>731771</v>
      </c>
      <c r="AQ87" s="46">
        <f>+'4.1. Samtryggingard.'!AQ86</f>
        <v>778423</v>
      </c>
      <c r="AR87" s="46">
        <f>+'4.1. Samtryggingard.'!AR86</f>
        <v>621437</v>
      </c>
      <c r="AS87" s="46">
        <f>+'4.1. Samtryggingard.'!AS86</f>
        <v>542470</v>
      </c>
      <c r="AT87" s="46">
        <f>+'4.1. Samtryggingard.'!AT86</f>
        <v>421445</v>
      </c>
      <c r="AU87" s="46">
        <f>+'4.1. Samtryggingard.'!AU86</f>
        <v>440893</v>
      </c>
      <c r="AV87" s="46">
        <f>+'4.1. Samtryggingard.'!AV86</f>
        <v>435033</v>
      </c>
      <c r="AW87" s="46">
        <f>+'4.1. Samtryggingard.'!AW86</f>
        <v>2644</v>
      </c>
      <c r="AX87" s="46">
        <f>+'4.1. Samtryggingard.'!AX86</f>
        <v>28800</v>
      </c>
      <c r="AY87" s="46"/>
      <c r="AZ87" s="46">
        <f>SUM(C87:AX87)</f>
        <v>1343693669</v>
      </c>
      <c r="BA87" s="46"/>
      <c r="BB87" s="25">
        <f>SUMIF($C$60:$AX$60,"já",C87:AX87)</f>
        <v>234881608</v>
      </c>
      <c r="BC87" s="25">
        <f>SUMIF($C$60:$AX$60,"Nei",C87:AX87)</f>
        <v>1108812061</v>
      </c>
      <c r="BD87" s="52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12.75" customHeight="1">
      <c r="A88" s="14"/>
      <c r="B88" s="2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52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241" ht="12.75" customHeight="1">
      <c r="A89" s="12" t="s">
        <v>253</v>
      </c>
      <c r="B89" s="28"/>
      <c r="C89" s="15">
        <f aca="true" t="shared" si="20" ref="C89:AX89">+C87*C10%</f>
        <v>42846445.53</v>
      </c>
      <c r="D89" s="15">
        <f t="shared" si="20"/>
        <v>84880095.75500001</v>
      </c>
      <c r="E89" s="15">
        <f t="shared" si="20"/>
        <v>122562481.32800001</v>
      </c>
      <c r="F89" s="15">
        <f t="shared" si="20"/>
        <v>98373938.48</v>
      </c>
      <c r="G89" s="15">
        <f t="shared" si="20"/>
        <v>0</v>
      </c>
      <c r="H89" s="15">
        <f t="shared" si="20"/>
        <v>40705786.08</v>
      </c>
      <c r="I89" s="15">
        <f t="shared" si="20"/>
        <v>16670790.08</v>
      </c>
      <c r="J89" s="15">
        <f t="shared" si="20"/>
        <v>1311695.741</v>
      </c>
      <c r="K89" s="15">
        <f t="shared" si="20"/>
        <v>5875133.85</v>
      </c>
      <c r="L89" s="15">
        <f t="shared" si="20"/>
        <v>27973907.505000003</v>
      </c>
      <c r="M89" s="15">
        <f t="shared" si="20"/>
        <v>6455163.864000001</v>
      </c>
      <c r="N89" s="15">
        <f t="shared" si="20"/>
        <v>24942329.76</v>
      </c>
      <c r="O89" s="15">
        <f t="shared" si="20"/>
        <v>18657264.384</v>
      </c>
      <c r="P89" s="15">
        <f t="shared" si="20"/>
        <v>23688048.513</v>
      </c>
      <c r="Q89" s="15">
        <f t="shared" si="20"/>
        <v>11403955.521</v>
      </c>
      <c r="R89" s="15">
        <f t="shared" si="20"/>
        <v>5913031.898</v>
      </c>
      <c r="S89" s="15">
        <f t="shared" si="20"/>
        <v>15133300.129999999</v>
      </c>
      <c r="T89" s="15">
        <f t="shared" si="20"/>
        <v>12116997.09</v>
      </c>
      <c r="U89" s="15">
        <f t="shared" si="20"/>
        <v>14861368.957999999</v>
      </c>
      <c r="V89" s="15">
        <f t="shared" si="20"/>
        <v>8416497.095999999</v>
      </c>
      <c r="W89" s="15">
        <f t="shared" si="20"/>
        <v>790106.1919999999</v>
      </c>
      <c r="X89" s="15">
        <f t="shared" si="20"/>
        <v>2052385.7959999999</v>
      </c>
      <c r="Y89" s="15">
        <f t="shared" si="20"/>
        <v>10790638.761</v>
      </c>
      <c r="Z89" s="15">
        <f t="shared" si="20"/>
        <v>9921139.937</v>
      </c>
      <c r="AA89" s="15">
        <f t="shared" si="20"/>
        <v>16141313.34</v>
      </c>
      <c r="AB89" s="15">
        <f t="shared" si="20"/>
        <v>8962094.493</v>
      </c>
      <c r="AC89" s="15">
        <f t="shared" si="20"/>
        <v>2006030.222</v>
      </c>
      <c r="AD89" s="15">
        <f t="shared" si="20"/>
        <v>2393843.67</v>
      </c>
      <c r="AE89" s="15">
        <f t="shared" si="20"/>
        <v>5058722.84</v>
      </c>
      <c r="AF89" s="15">
        <f t="shared" si="20"/>
        <v>1822026.7650000001</v>
      </c>
      <c r="AG89" s="15">
        <f t="shared" si="20"/>
        <v>2996079.6509999996</v>
      </c>
      <c r="AH89" s="15">
        <f t="shared" si="20"/>
        <v>118295.745</v>
      </c>
      <c r="AI89" s="15">
        <f t="shared" si="20"/>
        <v>2197527.5239999997</v>
      </c>
      <c r="AJ89" s="15">
        <f t="shared" si="20"/>
        <v>267224.80500000005</v>
      </c>
      <c r="AK89" s="15">
        <f t="shared" si="20"/>
        <v>1480013.436</v>
      </c>
      <c r="AL89" s="15">
        <f t="shared" si="20"/>
        <v>1047716.2639999999</v>
      </c>
      <c r="AM89" s="15">
        <f t="shared" si="20"/>
        <v>985429.9</v>
      </c>
      <c r="AN89" s="15">
        <f t="shared" si="20"/>
        <v>1475881.263</v>
      </c>
      <c r="AO89" s="15">
        <f t="shared" si="20"/>
        <v>904695.3720000001</v>
      </c>
      <c r="AP89" s="15">
        <f t="shared" si="20"/>
        <v>509312.616</v>
      </c>
      <c r="AQ89" s="15">
        <f t="shared" si="20"/>
        <v>563578.2520000001</v>
      </c>
      <c r="AR89" s="15">
        <f t="shared" si="20"/>
        <v>621.437</v>
      </c>
      <c r="AS89" s="15">
        <f t="shared" si="20"/>
        <v>475203.7199999999</v>
      </c>
      <c r="AT89" s="15">
        <f t="shared" si="20"/>
        <v>25708.145</v>
      </c>
      <c r="AU89" s="15">
        <f t="shared" si="20"/>
        <v>167098.44700000001</v>
      </c>
      <c r="AV89" s="15">
        <f t="shared" si="20"/>
        <v>183583.926</v>
      </c>
      <c r="AW89" s="15">
        <f t="shared" si="20"/>
        <v>0</v>
      </c>
      <c r="AX89" s="15">
        <f t="shared" si="20"/>
        <v>0</v>
      </c>
      <c r="AY89" s="15"/>
      <c r="AZ89" s="46">
        <f aca="true" t="shared" si="21" ref="AZ89:AZ94">SUM(C89:AX89)</f>
        <v>656124504.0820004</v>
      </c>
      <c r="BA89" s="15"/>
      <c r="BB89" s="25">
        <f aca="true" t="shared" si="22" ref="BB89:BB94">SUMIF($C$60:$AX$60,"já",C89:AX89)</f>
        <v>108131633.28400001</v>
      </c>
      <c r="BC89" s="25">
        <f aca="true" t="shared" si="23" ref="BC89:BC94">SUMIF($C$60:$AX$60,"Nei",C89:AX89)</f>
        <v>547992870.798</v>
      </c>
      <c r="BD89" s="52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</row>
    <row r="90" spans="1:56" ht="12.75" customHeight="1">
      <c r="A90" s="12" t="s">
        <v>254</v>
      </c>
      <c r="B90" s="28"/>
      <c r="C90" s="15">
        <f aca="true" t="shared" si="24" ref="C90:AX90">+C87*C11%</f>
        <v>33535930.995</v>
      </c>
      <c r="D90" s="15">
        <f t="shared" si="24"/>
        <v>70515771.858</v>
      </c>
      <c r="E90" s="15">
        <f t="shared" si="24"/>
        <v>65197710.932000004</v>
      </c>
      <c r="F90" s="15">
        <f t="shared" si="24"/>
        <v>88322688.244</v>
      </c>
      <c r="G90" s="15">
        <f t="shared" si="24"/>
        <v>0</v>
      </c>
      <c r="H90" s="15">
        <f t="shared" si="24"/>
        <v>1272055.815</v>
      </c>
      <c r="I90" s="15">
        <f t="shared" si="24"/>
        <v>2853966.78</v>
      </c>
      <c r="J90" s="15">
        <f t="shared" si="24"/>
        <v>2543200.4760000003</v>
      </c>
      <c r="K90" s="15">
        <f t="shared" si="24"/>
        <v>889492.275</v>
      </c>
      <c r="L90" s="15">
        <f t="shared" si="24"/>
        <v>28328007.6</v>
      </c>
      <c r="M90" s="15">
        <f t="shared" si="24"/>
        <v>4310773.824</v>
      </c>
      <c r="N90" s="15">
        <f t="shared" si="24"/>
        <v>26026778.88</v>
      </c>
      <c r="O90" s="15">
        <f t="shared" si="24"/>
        <v>28978304.255999997</v>
      </c>
      <c r="P90" s="15">
        <f t="shared" si="24"/>
        <v>20733097.676</v>
      </c>
      <c r="Q90" s="15">
        <f t="shared" si="24"/>
        <v>10335611.104</v>
      </c>
      <c r="R90" s="15">
        <f t="shared" si="24"/>
        <v>2881730.554</v>
      </c>
      <c r="S90" s="15">
        <f t="shared" si="24"/>
        <v>7553257.7639999995</v>
      </c>
      <c r="T90" s="15">
        <f t="shared" si="24"/>
        <v>8665953.614999998</v>
      </c>
      <c r="U90" s="15">
        <f t="shared" si="24"/>
        <v>9641891.625</v>
      </c>
      <c r="V90" s="15">
        <f t="shared" si="24"/>
        <v>5816117.097</v>
      </c>
      <c r="W90" s="15">
        <f t="shared" si="24"/>
        <v>545993.194</v>
      </c>
      <c r="X90" s="15">
        <f t="shared" si="24"/>
        <v>90476.404</v>
      </c>
      <c r="Y90" s="15">
        <f t="shared" si="24"/>
        <v>8668256.396</v>
      </c>
      <c r="Z90" s="15">
        <f t="shared" si="24"/>
        <v>9347540.84</v>
      </c>
      <c r="AA90" s="15">
        <f t="shared" si="24"/>
        <v>2627655.66</v>
      </c>
      <c r="AB90" s="15">
        <f t="shared" si="24"/>
        <v>1767173.562</v>
      </c>
      <c r="AC90" s="15">
        <f t="shared" si="24"/>
        <v>5436904.34</v>
      </c>
      <c r="AD90" s="15">
        <f t="shared" si="24"/>
        <v>7681737.15</v>
      </c>
      <c r="AE90" s="15">
        <f t="shared" si="24"/>
        <v>1629655.68</v>
      </c>
      <c r="AF90" s="15">
        <f t="shared" si="24"/>
        <v>640637.0100000001</v>
      </c>
      <c r="AG90" s="15">
        <f t="shared" si="24"/>
        <v>495099.43200000003</v>
      </c>
      <c r="AH90" s="15">
        <f t="shared" si="24"/>
        <v>17461.89</v>
      </c>
      <c r="AI90" s="15">
        <f t="shared" si="24"/>
        <v>404275.76000000007</v>
      </c>
      <c r="AJ90" s="15">
        <f t="shared" si="24"/>
        <v>24264.14</v>
      </c>
      <c r="AK90" s="15">
        <f t="shared" si="24"/>
        <v>575954.192</v>
      </c>
      <c r="AL90" s="15">
        <f t="shared" si="24"/>
        <v>603087.24</v>
      </c>
      <c r="AM90" s="15">
        <f t="shared" si="24"/>
        <v>870643.56</v>
      </c>
      <c r="AN90" s="15">
        <f t="shared" si="24"/>
        <v>146353.817</v>
      </c>
      <c r="AO90" s="15">
        <f t="shared" si="24"/>
        <v>72015.552</v>
      </c>
      <c r="AP90" s="15">
        <f t="shared" si="24"/>
        <v>132450.551</v>
      </c>
      <c r="AQ90" s="15">
        <f t="shared" si="24"/>
        <v>84069.68400000001</v>
      </c>
      <c r="AR90" s="15">
        <f t="shared" si="24"/>
        <v>42879.153000000006</v>
      </c>
      <c r="AS90" s="15">
        <f t="shared" si="24"/>
        <v>33633.14</v>
      </c>
      <c r="AT90" s="15">
        <f t="shared" si="24"/>
        <v>344320.565</v>
      </c>
      <c r="AU90" s="15">
        <f t="shared" si="24"/>
        <v>249986.33100000003</v>
      </c>
      <c r="AV90" s="15">
        <f t="shared" si="24"/>
        <v>152261.55</v>
      </c>
      <c r="AW90" s="15">
        <f t="shared" si="24"/>
        <v>0</v>
      </c>
      <c r="AX90" s="15">
        <f t="shared" si="24"/>
        <v>13795.199999999999</v>
      </c>
      <c r="AZ90" s="46">
        <f t="shared" si="21"/>
        <v>461100923.3629998</v>
      </c>
      <c r="BA90" s="52"/>
      <c r="BB90" s="25">
        <f t="shared" si="22"/>
        <v>88938244.34</v>
      </c>
      <c r="BC90" s="25">
        <f t="shared" si="23"/>
        <v>372162679.0229999</v>
      </c>
      <c r="BD90" s="52"/>
    </row>
    <row r="91" spans="1:56" ht="12.75" customHeight="1">
      <c r="A91" s="12" t="s">
        <v>255</v>
      </c>
      <c r="B91" s="28"/>
      <c r="C91" s="15">
        <f aca="true" t="shared" si="25" ref="C91:AX91">+C87*C12%</f>
        <v>451966.72500000003</v>
      </c>
      <c r="D91" s="15">
        <f t="shared" si="25"/>
        <v>932748.305</v>
      </c>
      <c r="E91" s="15">
        <f t="shared" si="25"/>
        <v>4607612.08</v>
      </c>
      <c r="F91" s="15">
        <f t="shared" si="25"/>
        <v>13045239.668</v>
      </c>
      <c r="G91" s="15">
        <f t="shared" si="25"/>
        <v>0</v>
      </c>
      <c r="H91" s="15">
        <f t="shared" si="25"/>
        <v>31462180.491</v>
      </c>
      <c r="I91" s="15">
        <f t="shared" si="25"/>
        <v>0</v>
      </c>
      <c r="J91" s="15">
        <f t="shared" si="25"/>
        <v>0</v>
      </c>
      <c r="K91" s="15">
        <f t="shared" si="25"/>
        <v>29898.9</v>
      </c>
      <c r="L91" s="15">
        <f t="shared" si="25"/>
        <v>3895101.045</v>
      </c>
      <c r="M91" s="15">
        <f t="shared" si="25"/>
        <v>21993.744</v>
      </c>
      <c r="N91" s="15">
        <f t="shared" si="25"/>
        <v>1626673.68</v>
      </c>
      <c r="O91" s="15">
        <f t="shared" si="25"/>
        <v>0</v>
      </c>
      <c r="P91" s="15">
        <f t="shared" si="25"/>
        <v>1550138.144</v>
      </c>
      <c r="Q91" s="15">
        <f t="shared" si="25"/>
        <v>24845.219</v>
      </c>
      <c r="R91" s="15">
        <f t="shared" si="25"/>
        <v>39885.544</v>
      </c>
      <c r="S91" s="15">
        <f t="shared" si="25"/>
        <v>1071384.08</v>
      </c>
      <c r="T91" s="15">
        <f t="shared" si="25"/>
        <v>102253.14</v>
      </c>
      <c r="U91" s="15">
        <f t="shared" si="25"/>
        <v>0</v>
      </c>
      <c r="V91" s="15">
        <f t="shared" si="25"/>
        <v>258052.977</v>
      </c>
      <c r="W91" s="15">
        <f t="shared" si="25"/>
        <v>24224.954</v>
      </c>
      <c r="X91" s="15">
        <f t="shared" si="25"/>
        <v>207143.346</v>
      </c>
      <c r="Y91" s="15">
        <f t="shared" si="25"/>
        <v>111704.335</v>
      </c>
      <c r="Z91" s="15">
        <f t="shared" si="25"/>
        <v>297421.75399999996</v>
      </c>
      <c r="AA91" s="15">
        <f t="shared" si="25"/>
        <v>542214.66</v>
      </c>
      <c r="AB91" s="15">
        <f t="shared" si="25"/>
        <v>1037863.8380000001</v>
      </c>
      <c r="AC91" s="15">
        <f t="shared" si="25"/>
        <v>46869.865</v>
      </c>
      <c r="AD91" s="15">
        <f t="shared" si="25"/>
        <v>0</v>
      </c>
      <c r="AE91" s="15">
        <f t="shared" si="25"/>
        <v>0</v>
      </c>
      <c r="AF91" s="15">
        <f t="shared" si="25"/>
        <v>24109.995</v>
      </c>
      <c r="AG91" s="15">
        <f t="shared" si="25"/>
        <v>0</v>
      </c>
      <c r="AH91" s="15">
        <f t="shared" si="25"/>
        <v>0</v>
      </c>
      <c r="AI91" s="15">
        <f t="shared" si="25"/>
        <v>216576.3</v>
      </c>
      <c r="AJ91" s="15">
        <f t="shared" si="25"/>
        <v>27776.054999999997</v>
      </c>
      <c r="AK91" s="15">
        <f t="shared" si="25"/>
        <v>0</v>
      </c>
      <c r="AL91" s="15">
        <f t="shared" si="25"/>
        <v>0</v>
      </c>
      <c r="AM91" s="15">
        <f t="shared" si="25"/>
        <v>8663.12</v>
      </c>
      <c r="AN91" s="15">
        <f t="shared" si="25"/>
        <v>109324.538</v>
      </c>
      <c r="AO91" s="15">
        <f t="shared" si="25"/>
        <v>72015.552</v>
      </c>
      <c r="AP91" s="15">
        <f t="shared" si="25"/>
        <v>20489.587999999996</v>
      </c>
      <c r="AQ91" s="15">
        <f t="shared" si="25"/>
        <v>61495.417</v>
      </c>
      <c r="AR91" s="15">
        <f t="shared" si="25"/>
        <v>6214.37</v>
      </c>
      <c r="AS91" s="15">
        <f t="shared" si="25"/>
        <v>33090.67</v>
      </c>
      <c r="AT91" s="15">
        <f t="shared" si="25"/>
        <v>0</v>
      </c>
      <c r="AU91" s="15">
        <f t="shared" si="25"/>
        <v>0</v>
      </c>
      <c r="AV91" s="15">
        <f t="shared" si="25"/>
        <v>2175.165</v>
      </c>
      <c r="AW91" s="15">
        <f t="shared" si="25"/>
        <v>898.96</v>
      </c>
      <c r="AX91" s="15">
        <f t="shared" si="25"/>
        <v>0</v>
      </c>
      <c r="AY91" s="46"/>
      <c r="AZ91" s="46">
        <f t="shared" si="21"/>
        <v>61970246.224</v>
      </c>
      <c r="BA91" s="46"/>
      <c r="BB91" s="25">
        <f t="shared" si="22"/>
        <v>1195564.8900000001</v>
      </c>
      <c r="BC91" s="25">
        <f t="shared" si="23"/>
        <v>60774681.334</v>
      </c>
      <c r="BD91" s="52"/>
    </row>
    <row r="92" spans="1:157" ht="12.75" customHeight="1">
      <c r="A92" s="12" t="s">
        <v>256</v>
      </c>
      <c r="B92" s="28"/>
      <c r="C92" s="15">
        <f aca="true" t="shared" si="26" ref="C92:AX92">+C87*C13%</f>
        <v>2169440.2800000003</v>
      </c>
      <c r="D92" s="15">
        <f t="shared" si="26"/>
        <v>5969589.152</v>
      </c>
      <c r="E92" s="15">
        <f t="shared" si="26"/>
        <v>7372179.328</v>
      </c>
      <c r="F92" s="15">
        <f t="shared" si="26"/>
        <v>4063271.372</v>
      </c>
      <c r="G92" s="15">
        <f t="shared" si="26"/>
        <v>0</v>
      </c>
      <c r="H92" s="15">
        <f t="shared" si="26"/>
        <v>2544111.63</v>
      </c>
      <c r="I92" s="15">
        <f t="shared" si="26"/>
        <v>226505.30000000002</v>
      </c>
      <c r="J92" s="15">
        <f t="shared" si="26"/>
        <v>378043.314</v>
      </c>
      <c r="K92" s="15">
        <f t="shared" si="26"/>
        <v>231716.475</v>
      </c>
      <c r="L92" s="15">
        <f t="shared" si="26"/>
        <v>1416400.3800000001</v>
      </c>
      <c r="M92" s="15">
        <f t="shared" si="26"/>
        <v>175949.952</v>
      </c>
      <c r="N92" s="15">
        <f t="shared" si="26"/>
        <v>542224.56</v>
      </c>
      <c r="O92" s="15">
        <f t="shared" si="26"/>
        <v>446583.45600000006</v>
      </c>
      <c r="P92" s="15">
        <f t="shared" si="26"/>
        <v>1162603.608</v>
      </c>
      <c r="Q92" s="15">
        <f t="shared" si="26"/>
        <v>2012462.739</v>
      </c>
      <c r="R92" s="15">
        <f t="shared" si="26"/>
        <v>428769.59799999994</v>
      </c>
      <c r="S92" s="15">
        <f t="shared" si="26"/>
        <v>1017814.8759999999</v>
      </c>
      <c r="T92" s="15">
        <f t="shared" si="26"/>
        <v>536828.985</v>
      </c>
      <c r="U92" s="15">
        <f t="shared" si="26"/>
        <v>848486.463</v>
      </c>
      <c r="V92" s="15">
        <f t="shared" si="26"/>
        <v>1349815.5720000002</v>
      </c>
      <c r="W92" s="15">
        <f t="shared" si="26"/>
        <v>126715.14400000001</v>
      </c>
      <c r="X92" s="15">
        <f t="shared" si="26"/>
        <v>28571.496</v>
      </c>
      <c r="Y92" s="15">
        <f t="shared" si="26"/>
        <v>848952.946</v>
      </c>
      <c r="Z92" s="15">
        <f t="shared" si="26"/>
        <v>934754.0840000001</v>
      </c>
      <c r="AA92" s="15">
        <f t="shared" si="26"/>
        <v>729904.3500000001</v>
      </c>
      <c r="AB92" s="15">
        <f t="shared" si="26"/>
        <v>308554.11400000006</v>
      </c>
      <c r="AC92" s="15">
        <f t="shared" si="26"/>
        <v>712421.948</v>
      </c>
      <c r="AD92" s="15">
        <f t="shared" si="26"/>
        <v>1536347.43</v>
      </c>
      <c r="AE92" s="15">
        <f t="shared" si="26"/>
        <v>101853.48</v>
      </c>
      <c r="AF92" s="15">
        <f t="shared" si="26"/>
        <v>957511.2300000001</v>
      </c>
      <c r="AG92" s="15">
        <f t="shared" si="26"/>
        <v>101932.23599999999</v>
      </c>
      <c r="AH92" s="15">
        <f t="shared" si="26"/>
        <v>30986.295000000006</v>
      </c>
      <c r="AI92" s="15">
        <f t="shared" si="26"/>
        <v>54865.996</v>
      </c>
      <c r="AJ92" s="15">
        <f t="shared" si="26"/>
        <v>0</v>
      </c>
      <c r="AK92" s="15">
        <f t="shared" si="26"/>
        <v>16523.275999999998</v>
      </c>
      <c r="AL92" s="15">
        <f t="shared" si="26"/>
        <v>650388.2000000001</v>
      </c>
      <c r="AM92" s="15">
        <f t="shared" si="26"/>
        <v>45481.380000000005</v>
      </c>
      <c r="AN92" s="15">
        <f t="shared" si="26"/>
        <v>21159.588</v>
      </c>
      <c r="AO92" s="15">
        <f t="shared" si="26"/>
        <v>46134.962999999996</v>
      </c>
      <c r="AP92" s="15">
        <f t="shared" si="26"/>
        <v>30734.382</v>
      </c>
      <c r="AQ92" s="15">
        <f t="shared" si="26"/>
        <v>69279.64700000001</v>
      </c>
      <c r="AR92" s="15">
        <f t="shared" si="26"/>
        <v>96322.735</v>
      </c>
      <c r="AS92" s="15">
        <f t="shared" si="26"/>
        <v>542.47</v>
      </c>
      <c r="AT92" s="15">
        <f t="shared" si="26"/>
        <v>36665.715</v>
      </c>
      <c r="AU92" s="15">
        <f t="shared" si="26"/>
        <v>1322.679</v>
      </c>
      <c r="AV92" s="15">
        <f t="shared" si="26"/>
        <v>28712.178</v>
      </c>
      <c r="AW92" s="15">
        <f t="shared" si="26"/>
        <v>475.91999999999996</v>
      </c>
      <c r="AX92" s="15">
        <f t="shared" si="26"/>
        <v>0</v>
      </c>
      <c r="AY92" s="46"/>
      <c r="AZ92" s="46">
        <f t="shared" si="21"/>
        <v>40409910.922</v>
      </c>
      <c r="BA92" s="46"/>
      <c r="BB92" s="25">
        <f t="shared" si="22"/>
        <v>8483576.798999997</v>
      </c>
      <c r="BC92" s="25">
        <f t="shared" si="23"/>
        <v>31926334.122999996</v>
      </c>
      <c r="BD92" s="52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</row>
    <row r="93" spans="1:157" ht="12.75" customHeight="1">
      <c r="A93" s="12" t="s">
        <v>257</v>
      </c>
      <c r="B93" s="28"/>
      <c r="C93" s="15">
        <f aca="true" t="shared" si="27" ref="C93:AX93">+C87*C14%</f>
        <v>11389561.47</v>
      </c>
      <c r="D93" s="15">
        <f t="shared" si="27"/>
        <v>24251455.93</v>
      </c>
      <c r="E93" s="15">
        <f t="shared" si="27"/>
        <v>30640620.332000002</v>
      </c>
      <c r="F93" s="15">
        <f t="shared" si="27"/>
        <v>10051250.236</v>
      </c>
      <c r="G93" s="15">
        <f t="shared" si="27"/>
        <v>0</v>
      </c>
      <c r="H93" s="15">
        <f t="shared" si="27"/>
        <v>8819586.984000001</v>
      </c>
      <c r="I93" s="15">
        <f t="shared" si="27"/>
        <v>2899267.84</v>
      </c>
      <c r="J93" s="15">
        <f t="shared" si="27"/>
        <v>1494989.469</v>
      </c>
      <c r="K93" s="15">
        <f t="shared" si="27"/>
        <v>448483.5</v>
      </c>
      <c r="L93" s="15">
        <f t="shared" si="27"/>
        <v>9064962.432</v>
      </c>
      <c r="M93" s="15">
        <f t="shared" si="27"/>
        <v>32990.616</v>
      </c>
      <c r="N93" s="15">
        <f t="shared" si="27"/>
        <v>542224.56</v>
      </c>
      <c r="O93" s="15">
        <f t="shared" si="27"/>
        <v>1538231.904</v>
      </c>
      <c r="P93" s="15">
        <f t="shared" si="27"/>
        <v>871952.7060000001</v>
      </c>
      <c r="Q93" s="15">
        <f t="shared" si="27"/>
        <v>1068344.417</v>
      </c>
      <c r="R93" s="15">
        <f t="shared" si="27"/>
        <v>707968.406</v>
      </c>
      <c r="S93" s="15">
        <f t="shared" si="27"/>
        <v>857107.264</v>
      </c>
      <c r="T93" s="15">
        <f t="shared" si="27"/>
        <v>3655549.7550000004</v>
      </c>
      <c r="U93" s="15">
        <f t="shared" si="27"/>
        <v>359963.95399999997</v>
      </c>
      <c r="V93" s="15">
        <f t="shared" si="27"/>
        <v>3136336.182</v>
      </c>
      <c r="W93" s="15">
        <f t="shared" si="27"/>
        <v>294426.364</v>
      </c>
      <c r="X93" s="15">
        <f t="shared" si="27"/>
        <v>0</v>
      </c>
      <c r="Y93" s="15">
        <f t="shared" si="27"/>
        <v>1921314.562</v>
      </c>
      <c r="Z93" s="15">
        <f t="shared" si="27"/>
        <v>0</v>
      </c>
      <c r="AA93" s="15">
        <f t="shared" si="27"/>
        <v>375379.38000000006</v>
      </c>
      <c r="AB93" s="15">
        <f t="shared" si="27"/>
        <v>1949500.9930000002</v>
      </c>
      <c r="AC93" s="15">
        <f t="shared" si="27"/>
        <v>1171746.625</v>
      </c>
      <c r="AD93" s="15">
        <f t="shared" si="27"/>
        <v>297741.75</v>
      </c>
      <c r="AE93" s="15">
        <f t="shared" si="27"/>
        <v>0</v>
      </c>
      <c r="AF93" s="15">
        <f t="shared" si="27"/>
        <v>0</v>
      </c>
      <c r="AG93" s="15">
        <f t="shared" si="27"/>
        <v>47325.681000000004</v>
      </c>
      <c r="AH93" s="15">
        <f t="shared" si="27"/>
        <v>4451.070000000001</v>
      </c>
      <c r="AI93" s="15">
        <f t="shared" si="27"/>
        <v>14438.42</v>
      </c>
      <c r="AJ93" s="15">
        <f t="shared" si="27"/>
        <v>0</v>
      </c>
      <c r="AK93" s="15">
        <f t="shared" si="27"/>
        <v>287977.096</v>
      </c>
      <c r="AL93" s="15">
        <f t="shared" si="27"/>
        <v>63856.29600000001</v>
      </c>
      <c r="AM93" s="15">
        <f t="shared" si="27"/>
        <v>255562.04</v>
      </c>
      <c r="AN93" s="15">
        <f t="shared" si="27"/>
        <v>10579.794</v>
      </c>
      <c r="AO93" s="15">
        <f t="shared" si="27"/>
        <v>30381.561000000005</v>
      </c>
      <c r="AP93" s="15">
        <f t="shared" si="27"/>
        <v>38783.863</v>
      </c>
      <c r="AQ93" s="15">
        <f t="shared" si="27"/>
        <v>0</v>
      </c>
      <c r="AR93" s="15">
        <f t="shared" si="27"/>
        <v>21128.858</v>
      </c>
      <c r="AS93" s="15">
        <f t="shared" si="27"/>
        <v>0</v>
      </c>
      <c r="AT93" s="15">
        <f t="shared" si="27"/>
        <v>14750.575</v>
      </c>
      <c r="AU93" s="15">
        <f t="shared" si="27"/>
        <v>17194.827</v>
      </c>
      <c r="AV93" s="15">
        <f t="shared" si="27"/>
        <v>48723.695999999996</v>
      </c>
      <c r="AW93" s="15">
        <f t="shared" si="27"/>
        <v>1269.12</v>
      </c>
      <c r="AX93" s="15">
        <f t="shared" si="27"/>
        <v>15004.800000000001</v>
      </c>
      <c r="AY93" s="46"/>
      <c r="AZ93" s="46">
        <f t="shared" si="21"/>
        <v>118712385.32799998</v>
      </c>
      <c r="BA93" s="46"/>
      <c r="BB93" s="25">
        <f t="shared" si="22"/>
        <v>28107721.486</v>
      </c>
      <c r="BC93" s="25">
        <f t="shared" si="23"/>
        <v>90604663.84199996</v>
      </c>
      <c r="BD93" s="52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</row>
    <row r="94" spans="1:157" ht="12.75" customHeight="1">
      <c r="A94" s="12" t="s">
        <v>258</v>
      </c>
      <c r="B94" s="28"/>
      <c r="C94" s="103">
        <f aca="true" t="shared" si="28" ref="C94:AX94">+C87*C15%</f>
        <v>0</v>
      </c>
      <c r="D94" s="103">
        <f t="shared" si="28"/>
        <v>0</v>
      </c>
      <c r="E94" s="103">
        <f t="shared" si="28"/>
        <v>0</v>
      </c>
      <c r="F94" s="103">
        <f t="shared" si="28"/>
        <v>0</v>
      </c>
      <c r="G94" s="103">
        <f t="shared" si="28"/>
        <v>0</v>
      </c>
      <c r="H94" s="103">
        <f t="shared" si="28"/>
        <v>0</v>
      </c>
      <c r="I94" s="103">
        <f t="shared" si="28"/>
        <v>0</v>
      </c>
      <c r="J94" s="103">
        <f t="shared" si="28"/>
        <v>0</v>
      </c>
      <c r="K94" s="103">
        <f t="shared" si="28"/>
        <v>0</v>
      </c>
      <c r="L94" s="103">
        <f t="shared" si="28"/>
        <v>141640.038</v>
      </c>
      <c r="M94" s="103">
        <f t="shared" si="28"/>
        <v>0</v>
      </c>
      <c r="N94" s="103">
        <f t="shared" si="28"/>
        <v>542224.56</v>
      </c>
      <c r="O94" s="103">
        <f t="shared" si="28"/>
        <v>0</v>
      </c>
      <c r="P94" s="103">
        <f t="shared" si="28"/>
        <v>435976.35300000006</v>
      </c>
      <c r="Q94" s="103">
        <f t="shared" si="28"/>
        <v>0</v>
      </c>
      <c r="R94" s="103">
        <f t="shared" si="28"/>
        <v>0</v>
      </c>
      <c r="S94" s="103">
        <f t="shared" si="28"/>
        <v>1151737.886</v>
      </c>
      <c r="T94" s="103">
        <f t="shared" si="28"/>
        <v>485702.415</v>
      </c>
      <c r="U94" s="103">
        <f t="shared" si="28"/>
        <v>0</v>
      </c>
      <c r="V94" s="103">
        <f t="shared" si="28"/>
        <v>873410.0760000001</v>
      </c>
      <c r="W94" s="103">
        <f t="shared" si="28"/>
        <v>81992.152</v>
      </c>
      <c r="X94" s="103">
        <f t="shared" si="28"/>
        <v>2380.958</v>
      </c>
      <c r="Y94" s="103">
        <f t="shared" si="28"/>
        <v>0</v>
      </c>
      <c r="Z94" s="103">
        <f t="shared" si="28"/>
        <v>743554.3850000001</v>
      </c>
      <c r="AA94" s="103">
        <f t="shared" si="28"/>
        <v>437942.61000000004</v>
      </c>
      <c r="AB94" s="103">
        <f t="shared" si="28"/>
        <v>0</v>
      </c>
      <c r="AC94" s="103">
        <f t="shared" si="28"/>
        <v>0</v>
      </c>
      <c r="AD94" s="103">
        <f t="shared" si="28"/>
        <v>0</v>
      </c>
      <c r="AE94" s="103">
        <f t="shared" si="28"/>
        <v>0</v>
      </c>
      <c r="AF94" s="103">
        <f t="shared" si="28"/>
        <v>0</v>
      </c>
      <c r="AG94" s="103">
        <f t="shared" si="28"/>
        <v>0</v>
      </c>
      <c r="AH94" s="103">
        <f t="shared" si="28"/>
        <v>0</v>
      </c>
      <c r="AI94" s="103">
        <f t="shared" si="28"/>
        <v>0</v>
      </c>
      <c r="AJ94" s="103">
        <f t="shared" si="28"/>
        <v>0</v>
      </c>
      <c r="AK94" s="103">
        <f t="shared" si="28"/>
        <v>0</v>
      </c>
      <c r="AL94" s="103">
        <f t="shared" si="28"/>
        <v>0</v>
      </c>
      <c r="AM94" s="103">
        <f t="shared" si="28"/>
        <v>0</v>
      </c>
      <c r="AN94" s="103">
        <f t="shared" si="28"/>
        <v>0</v>
      </c>
      <c r="AO94" s="103">
        <f t="shared" si="28"/>
        <v>0</v>
      </c>
      <c r="AP94" s="103">
        <f t="shared" si="28"/>
        <v>0</v>
      </c>
      <c r="AQ94" s="103">
        <f t="shared" si="28"/>
        <v>0</v>
      </c>
      <c r="AR94" s="103">
        <f t="shared" si="28"/>
        <v>454270.447</v>
      </c>
      <c r="AS94" s="103">
        <f t="shared" si="28"/>
        <v>0</v>
      </c>
      <c r="AT94" s="103">
        <f t="shared" si="28"/>
        <v>0</v>
      </c>
      <c r="AU94" s="103">
        <f t="shared" si="28"/>
        <v>5290.716</v>
      </c>
      <c r="AV94" s="103">
        <f t="shared" si="28"/>
        <v>19576.485</v>
      </c>
      <c r="AW94" s="103">
        <f t="shared" si="28"/>
        <v>0</v>
      </c>
      <c r="AX94" s="103">
        <f t="shared" si="28"/>
        <v>0</v>
      </c>
      <c r="AY94" s="46"/>
      <c r="AZ94" s="100">
        <f t="shared" si="21"/>
        <v>5375699.081000001</v>
      </c>
      <c r="BA94" s="46"/>
      <c r="BB94" s="103">
        <f t="shared" si="22"/>
        <v>24867.201</v>
      </c>
      <c r="BC94" s="103">
        <f t="shared" si="23"/>
        <v>5350831.880000001</v>
      </c>
      <c r="BD94" s="52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</row>
    <row r="95" spans="1:157" ht="12.75" customHeight="1">
      <c r="A95" s="12" t="s">
        <v>185</v>
      </c>
      <c r="B95" s="28"/>
      <c r="C95" s="46">
        <f aca="true" t="shared" si="29" ref="C95:AX95">SUM(C89:C94)</f>
        <v>90393345</v>
      </c>
      <c r="D95" s="46">
        <f t="shared" si="29"/>
        <v>186549661.00000003</v>
      </c>
      <c r="E95" s="46">
        <f t="shared" si="29"/>
        <v>230380604.00000006</v>
      </c>
      <c r="F95" s="46">
        <f t="shared" si="29"/>
        <v>213856388.00000003</v>
      </c>
      <c r="G95" s="46">
        <f t="shared" si="29"/>
        <v>0</v>
      </c>
      <c r="H95" s="46">
        <f t="shared" si="29"/>
        <v>84803720.99999999</v>
      </c>
      <c r="I95" s="46">
        <f t="shared" si="29"/>
        <v>22650530</v>
      </c>
      <c r="J95" s="46">
        <f t="shared" si="29"/>
        <v>5727929</v>
      </c>
      <c r="K95" s="46">
        <f t="shared" si="29"/>
        <v>7474725</v>
      </c>
      <c r="L95" s="46">
        <f t="shared" si="29"/>
        <v>70820019.00000001</v>
      </c>
      <c r="M95" s="46">
        <f t="shared" si="29"/>
        <v>10996872.000000002</v>
      </c>
      <c r="N95" s="46">
        <f t="shared" si="29"/>
        <v>54222456.00000001</v>
      </c>
      <c r="O95" s="46">
        <f t="shared" si="29"/>
        <v>49620384</v>
      </c>
      <c r="P95" s="46">
        <f t="shared" si="29"/>
        <v>48441817</v>
      </c>
      <c r="Q95" s="46">
        <f t="shared" si="29"/>
        <v>24845219</v>
      </c>
      <c r="R95" s="46">
        <f t="shared" si="29"/>
        <v>9971385.999999998</v>
      </c>
      <c r="S95" s="46">
        <f t="shared" si="29"/>
        <v>26784601.999999996</v>
      </c>
      <c r="T95" s="46">
        <f t="shared" si="29"/>
        <v>25563284.999999996</v>
      </c>
      <c r="U95" s="46">
        <f t="shared" si="29"/>
        <v>25711710.999999996</v>
      </c>
      <c r="V95" s="46">
        <f t="shared" si="29"/>
        <v>19850229.000000004</v>
      </c>
      <c r="W95" s="46">
        <f t="shared" si="29"/>
        <v>1863458</v>
      </c>
      <c r="X95" s="46">
        <f t="shared" si="29"/>
        <v>2380957.9999999995</v>
      </c>
      <c r="Y95" s="46">
        <f t="shared" si="29"/>
        <v>22340866.999999996</v>
      </c>
      <c r="Z95" s="46">
        <f t="shared" si="29"/>
        <v>21244411.000000004</v>
      </c>
      <c r="AA95" s="46">
        <f t="shared" si="29"/>
        <v>20854410</v>
      </c>
      <c r="AB95" s="46">
        <f t="shared" si="29"/>
        <v>14025187</v>
      </c>
      <c r="AC95" s="46">
        <f t="shared" si="29"/>
        <v>9373973</v>
      </c>
      <c r="AD95" s="46">
        <f t="shared" si="29"/>
        <v>11909670</v>
      </c>
      <c r="AE95" s="46">
        <f t="shared" si="29"/>
        <v>6790232</v>
      </c>
      <c r="AF95" s="46">
        <f t="shared" si="29"/>
        <v>3444285.0000000005</v>
      </c>
      <c r="AG95" s="46">
        <f t="shared" si="29"/>
        <v>3640436.9999999995</v>
      </c>
      <c r="AH95" s="46">
        <f t="shared" si="29"/>
        <v>171195.00000000003</v>
      </c>
      <c r="AI95" s="46">
        <f t="shared" si="29"/>
        <v>2887683.9999999995</v>
      </c>
      <c r="AJ95" s="46">
        <f t="shared" si="29"/>
        <v>319265.00000000006</v>
      </c>
      <c r="AK95" s="46">
        <f t="shared" si="29"/>
        <v>2360468</v>
      </c>
      <c r="AL95" s="46">
        <f t="shared" si="29"/>
        <v>2365048</v>
      </c>
      <c r="AM95" s="46">
        <f t="shared" si="29"/>
        <v>2165780</v>
      </c>
      <c r="AN95" s="46">
        <f t="shared" si="29"/>
        <v>1763299</v>
      </c>
      <c r="AO95" s="46">
        <f t="shared" si="29"/>
        <v>1125243</v>
      </c>
      <c r="AP95" s="46">
        <f t="shared" si="29"/>
        <v>731771</v>
      </c>
      <c r="AQ95" s="46">
        <f t="shared" si="29"/>
        <v>778423.0000000001</v>
      </c>
      <c r="AR95" s="46">
        <f t="shared" si="29"/>
        <v>621437</v>
      </c>
      <c r="AS95" s="46">
        <f t="shared" si="29"/>
        <v>542469.9999999999</v>
      </c>
      <c r="AT95" s="46">
        <f t="shared" si="29"/>
        <v>421445.00000000006</v>
      </c>
      <c r="AU95" s="46">
        <f t="shared" si="29"/>
        <v>440893.00000000006</v>
      </c>
      <c r="AV95" s="46">
        <f t="shared" si="29"/>
        <v>435033</v>
      </c>
      <c r="AW95" s="46">
        <f t="shared" si="29"/>
        <v>2644</v>
      </c>
      <c r="AX95" s="46">
        <f t="shared" si="29"/>
        <v>28800</v>
      </c>
      <c r="AY95" s="46"/>
      <c r="AZ95" s="46">
        <f>SUM(AZ89:AZ94)</f>
        <v>1343693669.0000002</v>
      </c>
      <c r="BA95" s="46"/>
      <c r="BB95" s="46">
        <f>SUM(BB89:BB94)</f>
        <v>234881608</v>
      </c>
      <c r="BC95" s="46">
        <f>SUM(BC89:BC94)</f>
        <v>1108812061</v>
      </c>
      <c r="BD95" s="52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</row>
    <row r="96" spans="1:241" s="26" customFormat="1" ht="12.75" customHeight="1" thickBot="1">
      <c r="A96" s="105"/>
      <c r="B96" s="106"/>
      <c r="C96" s="109">
        <f aca="true" t="shared" si="30" ref="C96:AX96">+C95-C87</f>
        <v>0</v>
      </c>
      <c r="D96" s="109">
        <f t="shared" si="30"/>
        <v>0</v>
      </c>
      <c r="E96" s="109">
        <f t="shared" si="30"/>
        <v>0</v>
      </c>
      <c r="F96" s="109">
        <f t="shared" si="30"/>
        <v>0</v>
      </c>
      <c r="G96" s="109">
        <f t="shared" si="30"/>
        <v>0</v>
      </c>
      <c r="H96" s="109">
        <f t="shared" si="30"/>
        <v>0</v>
      </c>
      <c r="I96" s="109">
        <f t="shared" si="30"/>
        <v>0</v>
      </c>
      <c r="J96" s="109">
        <f t="shared" si="30"/>
        <v>0</v>
      </c>
      <c r="K96" s="109">
        <f t="shared" si="30"/>
        <v>0</v>
      </c>
      <c r="L96" s="109">
        <f t="shared" si="30"/>
        <v>0</v>
      </c>
      <c r="M96" s="109">
        <f t="shared" si="30"/>
        <v>0</v>
      </c>
      <c r="N96" s="109">
        <f t="shared" si="30"/>
        <v>0</v>
      </c>
      <c r="O96" s="109">
        <f t="shared" si="30"/>
        <v>0</v>
      </c>
      <c r="P96" s="109">
        <f t="shared" si="30"/>
        <v>0</v>
      </c>
      <c r="Q96" s="109">
        <f t="shared" si="30"/>
        <v>0</v>
      </c>
      <c r="R96" s="109">
        <f t="shared" si="30"/>
        <v>0</v>
      </c>
      <c r="S96" s="109">
        <f t="shared" si="30"/>
        <v>0</v>
      </c>
      <c r="T96" s="109">
        <f t="shared" si="30"/>
        <v>0</v>
      </c>
      <c r="U96" s="109">
        <f t="shared" si="30"/>
        <v>0</v>
      </c>
      <c r="V96" s="109">
        <f t="shared" si="30"/>
        <v>0</v>
      </c>
      <c r="W96" s="109">
        <f t="shared" si="30"/>
        <v>0</v>
      </c>
      <c r="X96" s="109">
        <f t="shared" si="30"/>
        <v>0</v>
      </c>
      <c r="Y96" s="109">
        <f t="shared" si="30"/>
        <v>0</v>
      </c>
      <c r="Z96" s="109">
        <f t="shared" si="30"/>
        <v>0</v>
      </c>
      <c r="AA96" s="109">
        <f t="shared" si="30"/>
        <v>0</v>
      </c>
      <c r="AB96" s="109">
        <f t="shared" si="30"/>
        <v>0</v>
      </c>
      <c r="AC96" s="109">
        <f t="shared" si="30"/>
        <v>0</v>
      </c>
      <c r="AD96" s="109">
        <f t="shared" si="30"/>
        <v>0</v>
      </c>
      <c r="AE96" s="109">
        <f t="shared" si="30"/>
        <v>0</v>
      </c>
      <c r="AF96" s="109">
        <f t="shared" si="30"/>
        <v>0</v>
      </c>
      <c r="AG96" s="109">
        <f t="shared" si="30"/>
        <v>0</v>
      </c>
      <c r="AH96" s="109">
        <f t="shared" si="30"/>
        <v>0</v>
      </c>
      <c r="AI96" s="109">
        <f t="shared" si="30"/>
        <v>0</v>
      </c>
      <c r="AJ96" s="109">
        <f t="shared" si="30"/>
        <v>0</v>
      </c>
      <c r="AK96" s="109">
        <f t="shared" si="30"/>
        <v>0</v>
      </c>
      <c r="AL96" s="109">
        <f t="shared" si="30"/>
        <v>0</v>
      </c>
      <c r="AM96" s="109">
        <f t="shared" si="30"/>
        <v>0</v>
      </c>
      <c r="AN96" s="109">
        <f t="shared" si="30"/>
        <v>0</v>
      </c>
      <c r="AO96" s="109">
        <f t="shared" si="30"/>
        <v>0</v>
      </c>
      <c r="AP96" s="109">
        <f t="shared" si="30"/>
        <v>0</v>
      </c>
      <c r="AQ96" s="109">
        <f t="shared" si="30"/>
        <v>0</v>
      </c>
      <c r="AR96" s="109">
        <f t="shared" si="30"/>
        <v>0</v>
      </c>
      <c r="AS96" s="109">
        <f t="shared" si="30"/>
        <v>0</v>
      </c>
      <c r="AT96" s="109">
        <f t="shared" si="30"/>
        <v>0</v>
      </c>
      <c r="AU96" s="109">
        <f t="shared" si="30"/>
        <v>0</v>
      </c>
      <c r="AV96" s="109">
        <f t="shared" si="30"/>
        <v>0</v>
      </c>
      <c r="AW96" s="109">
        <f t="shared" si="30"/>
        <v>0</v>
      </c>
      <c r="AX96" s="109">
        <f t="shared" si="30"/>
        <v>0</v>
      </c>
      <c r="AY96" s="110"/>
      <c r="AZ96" s="109">
        <f>+AZ95-'4.1. Samtryggingard.'!AZ86</f>
        <v>0</v>
      </c>
      <c r="BA96" s="109"/>
      <c r="BB96" s="109">
        <f>+BB95-'4.1. Samtryggingard.'!BB86</f>
        <v>0</v>
      </c>
      <c r="BC96" s="109">
        <f>+BC95-'4.1. Samtryggingard.'!BC86</f>
        <v>0</v>
      </c>
      <c r="BD96" s="52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</row>
    <row r="97" spans="1:157" ht="12.75" customHeight="1">
      <c r="A97" s="14" t="s">
        <v>233</v>
      </c>
      <c r="B97" s="2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52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</row>
    <row r="98" spans="1:56" ht="12.75" customHeight="1">
      <c r="A98" s="12" t="s">
        <v>260</v>
      </c>
      <c r="B98" s="28"/>
      <c r="C98" s="15">
        <f aca="true" t="shared" si="31" ref="C98:AX98">+C87*C18%</f>
        <v>58574887.56</v>
      </c>
      <c r="D98" s="15">
        <f t="shared" si="31"/>
        <v>126294120.49700001</v>
      </c>
      <c r="E98" s="15">
        <f t="shared" si="31"/>
        <v>150208153.808</v>
      </c>
      <c r="F98" s="15">
        <f t="shared" si="31"/>
        <v>191615323.64799997</v>
      </c>
      <c r="G98" s="15">
        <f t="shared" si="31"/>
        <v>0</v>
      </c>
      <c r="H98" s="15">
        <f t="shared" si="31"/>
        <v>57157707.954</v>
      </c>
      <c r="I98" s="15">
        <f t="shared" si="31"/>
        <v>15266457.22</v>
      </c>
      <c r="J98" s="15">
        <f t="shared" si="31"/>
        <v>5407164.976000001</v>
      </c>
      <c r="K98" s="15">
        <f t="shared" si="31"/>
        <v>5553720.675</v>
      </c>
      <c r="L98" s="15">
        <f t="shared" si="31"/>
        <v>57364215.39</v>
      </c>
      <c r="M98" s="15">
        <f t="shared" si="31"/>
        <v>6906035.616</v>
      </c>
      <c r="N98" s="15">
        <f t="shared" si="31"/>
        <v>34702371.84</v>
      </c>
      <c r="O98" s="15">
        <f t="shared" si="31"/>
        <v>36619843.392</v>
      </c>
      <c r="P98" s="15">
        <f t="shared" si="31"/>
        <v>33763946.449</v>
      </c>
      <c r="Q98" s="15">
        <f t="shared" si="31"/>
        <v>21267507.463999998</v>
      </c>
      <c r="R98" s="15">
        <f t="shared" si="31"/>
        <v>7548339.2020000005</v>
      </c>
      <c r="S98" s="15">
        <f t="shared" si="31"/>
        <v>19017067.419999998</v>
      </c>
      <c r="T98" s="15">
        <f t="shared" si="31"/>
        <v>18201058.92</v>
      </c>
      <c r="U98" s="15">
        <f t="shared" si="31"/>
        <v>18306738.232</v>
      </c>
      <c r="V98" s="15">
        <f t="shared" si="31"/>
        <v>14808270.834</v>
      </c>
      <c r="W98" s="15">
        <f t="shared" si="31"/>
        <v>1390139.668</v>
      </c>
      <c r="X98" s="15">
        <f t="shared" si="31"/>
        <v>1978576.098</v>
      </c>
      <c r="Y98" s="15">
        <f t="shared" si="31"/>
        <v>14320495.746999998</v>
      </c>
      <c r="Z98" s="15">
        <f t="shared" si="31"/>
        <v>13978822.438</v>
      </c>
      <c r="AA98" s="15">
        <f t="shared" si="31"/>
        <v>15724225.14</v>
      </c>
      <c r="AB98" s="15">
        <f t="shared" si="31"/>
        <v>10785368.803</v>
      </c>
      <c r="AC98" s="15">
        <f t="shared" si="31"/>
        <v>9027135.999</v>
      </c>
      <c r="AD98" s="15">
        <f t="shared" si="31"/>
        <v>11433283.2</v>
      </c>
      <c r="AE98" s="15">
        <f t="shared" si="31"/>
        <v>6600105.504</v>
      </c>
      <c r="AF98" s="15">
        <f t="shared" si="31"/>
        <v>2824313.6999999997</v>
      </c>
      <c r="AG98" s="15">
        <f t="shared" si="31"/>
        <v>3232708.056</v>
      </c>
      <c r="AH98" s="15">
        <f t="shared" si="31"/>
        <v>171195</v>
      </c>
      <c r="AI98" s="15">
        <f t="shared" si="31"/>
        <v>2688433.804</v>
      </c>
      <c r="AJ98" s="15">
        <f t="shared" si="31"/>
        <v>255092.73500000002</v>
      </c>
      <c r="AK98" s="15">
        <f t="shared" si="31"/>
        <v>1770351</v>
      </c>
      <c r="AL98" s="15">
        <f t="shared" si="31"/>
        <v>1939339.3599999999</v>
      </c>
      <c r="AM98" s="15">
        <f t="shared" si="31"/>
        <v>1648158.5799999998</v>
      </c>
      <c r="AN98" s="15">
        <f t="shared" si="31"/>
        <v>1532306.8310000002</v>
      </c>
      <c r="AO98" s="15">
        <f t="shared" si="31"/>
        <v>947454.6060000001</v>
      </c>
      <c r="AP98" s="15">
        <f t="shared" si="31"/>
        <v>531265.7459999999</v>
      </c>
      <c r="AQ98" s="15">
        <f t="shared" si="31"/>
        <v>765189.809</v>
      </c>
      <c r="AR98" s="15">
        <f t="shared" si="31"/>
        <v>616465.504</v>
      </c>
      <c r="AS98" s="15">
        <f t="shared" si="31"/>
        <v>504497.10000000003</v>
      </c>
      <c r="AT98" s="15">
        <f t="shared" si="31"/>
        <v>399108.41500000004</v>
      </c>
      <c r="AU98" s="15">
        <f t="shared" si="31"/>
        <v>428107.103</v>
      </c>
      <c r="AV98" s="15">
        <f t="shared" si="31"/>
        <v>403710.62399999995</v>
      </c>
      <c r="AW98" s="15">
        <f t="shared" si="31"/>
        <v>2644</v>
      </c>
      <c r="AX98" s="15">
        <f t="shared" si="31"/>
        <v>28800</v>
      </c>
      <c r="AY98" s="46"/>
      <c r="AZ98" s="46">
        <f>SUM(C98:AX98)</f>
        <v>984510225.6669998</v>
      </c>
      <c r="BA98" s="46"/>
      <c r="BB98" s="25">
        <f>SUMIF($C$60:$AX$60,"já",C98:AX98)</f>
        <v>164112883.76600006</v>
      </c>
      <c r="BC98" s="25">
        <f>SUMIF($C$60:$AX$60,"Nei",C98:AX98)</f>
        <v>820397341.901</v>
      </c>
      <c r="BD98" s="52"/>
    </row>
    <row r="99" spans="1:241" ht="12.75" customHeight="1">
      <c r="A99" s="12" t="s">
        <v>261</v>
      </c>
      <c r="B99" s="28"/>
      <c r="C99" s="103">
        <f aca="true" t="shared" si="32" ref="C99:AX99">+C87*C19%</f>
        <v>31818457.44</v>
      </c>
      <c r="D99" s="103">
        <f t="shared" si="32"/>
        <v>60255540.50299999</v>
      </c>
      <c r="E99" s="103">
        <f t="shared" si="32"/>
        <v>80172450.192</v>
      </c>
      <c r="F99" s="103">
        <f t="shared" si="32"/>
        <v>22241064.352</v>
      </c>
      <c r="G99" s="103">
        <f t="shared" si="32"/>
        <v>0</v>
      </c>
      <c r="H99" s="103">
        <f t="shared" si="32"/>
        <v>27646013.046</v>
      </c>
      <c r="I99" s="103">
        <f t="shared" si="32"/>
        <v>7384072.78</v>
      </c>
      <c r="J99" s="103">
        <f t="shared" si="32"/>
        <v>320764.024</v>
      </c>
      <c r="K99" s="103">
        <f t="shared" si="32"/>
        <v>1921004.325</v>
      </c>
      <c r="L99" s="103">
        <f t="shared" si="32"/>
        <v>13455803.61</v>
      </c>
      <c r="M99" s="103">
        <f t="shared" si="32"/>
        <v>4090836.3840000005</v>
      </c>
      <c r="N99" s="103">
        <f t="shared" si="32"/>
        <v>19520084.16</v>
      </c>
      <c r="O99" s="103">
        <f t="shared" si="32"/>
        <v>13000540.608000001</v>
      </c>
      <c r="P99" s="103">
        <f t="shared" si="32"/>
        <v>14677870.550999999</v>
      </c>
      <c r="Q99" s="103">
        <f t="shared" si="32"/>
        <v>3577711.5360000003</v>
      </c>
      <c r="R99" s="103">
        <f t="shared" si="32"/>
        <v>2423046.798</v>
      </c>
      <c r="S99" s="103">
        <f t="shared" si="32"/>
        <v>7767534.579999999</v>
      </c>
      <c r="T99" s="103">
        <f t="shared" si="32"/>
        <v>7362226.080000001</v>
      </c>
      <c r="U99" s="103">
        <f t="shared" si="32"/>
        <v>7404972.768000001</v>
      </c>
      <c r="V99" s="103">
        <f t="shared" si="32"/>
        <v>5041958.166</v>
      </c>
      <c r="W99" s="103">
        <f t="shared" si="32"/>
        <v>473318.332</v>
      </c>
      <c r="X99" s="103">
        <f t="shared" si="32"/>
        <v>402381.90199999994</v>
      </c>
      <c r="Y99" s="103">
        <f t="shared" si="32"/>
        <v>8020371.253</v>
      </c>
      <c r="Z99" s="103">
        <f t="shared" si="32"/>
        <v>7265588.562000001</v>
      </c>
      <c r="AA99" s="103">
        <f t="shared" si="32"/>
        <v>5130184.86</v>
      </c>
      <c r="AB99" s="103">
        <f t="shared" si="32"/>
        <v>3239818.197</v>
      </c>
      <c r="AC99" s="103">
        <f t="shared" si="32"/>
        <v>346837.00100000005</v>
      </c>
      <c r="AD99" s="103">
        <f t="shared" si="32"/>
        <v>476386.8</v>
      </c>
      <c r="AE99" s="103">
        <f t="shared" si="32"/>
        <v>190126.49599999998</v>
      </c>
      <c r="AF99" s="103">
        <f t="shared" si="32"/>
        <v>619971.2999999999</v>
      </c>
      <c r="AG99" s="103">
        <f t="shared" si="32"/>
        <v>407728.94399999996</v>
      </c>
      <c r="AH99" s="103">
        <f t="shared" si="32"/>
        <v>0</v>
      </c>
      <c r="AI99" s="103">
        <f t="shared" si="32"/>
        <v>199250.19600000003</v>
      </c>
      <c r="AJ99" s="103">
        <f t="shared" si="32"/>
        <v>64172.26500000001</v>
      </c>
      <c r="AK99" s="103">
        <f t="shared" si="32"/>
        <v>590117</v>
      </c>
      <c r="AL99" s="103">
        <f t="shared" si="32"/>
        <v>425708.63999999996</v>
      </c>
      <c r="AM99" s="103">
        <f t="shared" si="32"/>
        <v>517621.42</v>
      </c>
      <c r="AN99" s="103">
        <f t="shared" si="32"/>
        <v>230992.16900000002</v>
      </c>
      <c r="AO99" s="103">
        <f t="shared" si="32"/>
        <v>177788.394</v>
      </c>
      <c r="AP99" s="103">
        <f t="shared" si="32"/>
        <v>200505.254</v>
      </c>
      <c r="AQ99" s="103">
        <f t="shared" si="32"/>
        <v>13233.191</v>
      </c>
      <c r="AR99" s="103">
        <f t="shared" si="32"/>
        <v>4971.496</v>
      </c>
      <c r="AS99" s="103">
        <f t="shared" si="32"/>
        <v>37972.9</v>
      </c>
      <c r="AT99" s="103">
        <f t="shared" si="32"/>
        <v>22336.585</v>
      </c>
      <c r="AU99" s="103">
        <f t="shared" si="32"/>
        <v>12785.896999999999</v>
      </c>
      <c r="AV99" s="103">
        <f t="shared" si="32"/>
        <v>31322.376000000004</v>
      </c>
      <c r="AW99" s="103">
        <f t="shared" si="32"/>
        <v>0</v>
      </c>
      <c r="AX99" s="103">
        <f t="shared" si="32"/>
        <v>0</v>
      </c>
      <c r="AY99" s="12"/>
      <c r="AZ99" s="100">
        <f>SUM(C99:AX99)</f>
        <v>359183443.33299994</v>
      </c>
      <c r="BA99" s="80"/>
      <c r="BB99" s="103">
        <f>SUMIF($C$60:$AX$60,"já",C99:AX99)</f>
        <v>70768724.234</v>
      </c>
      <c r="BC99" s="103">
        <f>SUMIF($C$60:$AX$60,"Nei",C99:AX99)</f>
        <v>288414719.09900004</v>
      </c>
      <c r="BD99" s="52"/>
      <c r="BE99" s="12"/>
      <c r="BF99" s="12"/>
      <c r="BG99" s="12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</row>
    <row r="100" spans="1:56" ht="12.75" customHeight="1">
      <c r="A100" s="12" t="s">
        <v>188</v>
      </c>
      <c r="B100" s="28"/>
      <c r="C100" s="46">
        <f aca="true" t="shared" si="33" ref="C100:AX100">SUM(C98:C99)</f>
        <v>90393345</v>
      </c>
      <c r="D100" s="46">
        <f t="shared" si="33"/>
        <v>186549661</v>
      </c>
      <c r="E100" s="46">
        <f t="shared" si="33"/>
        <v>230380604</v>
      </c>
      <c r="F100" s="46">
        <f t="shared" si="33"/>
        <v>213856387.99999997</v>
      </c>
      <c r="G100" s="46">
        <f t="shared" si="33"/>
        <v>0</v>
      </c>
      <c r="H100" s="46">
        <f t="shared" si="33"/>
        <v>84803721</v>
      </c>
      <c r="I100" s="46">
        <f t="shared" si="33"/>
        <v>22650530</v>
      </c>
      <c r="J100" s="46">
        <f t="shared" si="33"/>
        <v>5727929.000000001</v>
      </c>
      <c r="K100" s="46">
        <f t="shared" si="33"/>
        <v>7474725</v>
      </c>
      <c r="L100" s="46">
        <f t="shared" si="33"/>
        <v>70820019</v>
      </c>
      <c r="M100" s="46">
        <f t="shared" si="33"/>
        <v>10996872</v>
      </c>
      <c r="N100" s="46">
        <f t="shared" si="33"/>
        <v>54222456</v>
      </c>
      <c r="O100" s="46">
        <f t="shared" si="33"/>
        <v>49620384</v>
      </c>
      <c r="P100" s="46">
        <f t="shared" si="33"/>
        <v>48441817</v>
      </c>
      <c r="Q100" s="46">
        <f t="shared" si="33"/>
        <v>24845219</v>
      </c>
      <c r="R100" s="46">
        <f t="shared" si="33"/>
        <v>9971386</v>
      </c>
      <c r="S100" s="46">
        <f t="shared" si="33"/>
        <v>26784601.999999996</v>
      </c>
      <c r="T100" s="46">
        <f t="shared" si="33"/>
        <v>25563285.000000004</v>
      </c>
      <c r="U100" s="46">
        <f t="shared" si="33"/>
        <v>25711711</v>
      </c>
      <c r="V100" s="46">
        <f t="shared" si="33"/>
        <v>19850229</v>
      </c>
      <c r="W100" s="46">
        <f t="shared" si="33"/>
        <v>1863458</v>
      </c>
      <c r="X100" s="46">
        <f t="shared" si="33"/>
        <v>2380958</v>
      </c>
      <c r="Y100" s="46">
        <f t="shared" si="33"/>
        <v>22340866.999999996</v>
      </c>
      <c r="Z100" s="46">
        <f t="shared" si="33"/>
        <v>21244411</v>
      </c>
      <c r="AA100" s="46">
        <f t="shared" si="33"/>
        <v>20854410</v>
      </c>
      <c r="AB100" s="46">
        <f t="shared" si="33"/>
        <v>14025187</v>
      </c>
      <c r="AC100" s="46">
        <f t="shared" si="33"/>
        <v>9373973</v>
      </c>
      <c r="AD100" s="46">
        <f t="shared" si="33"/>
        <v>11909670</v>
      </c>
      <c r="AE100" s="46">
        <f t="shared" si="33"/>
        <v>6790232</v>
      </c>
      <c r="AF100" s="46">
        <f t="shared" si="33"/>
        <v>3444284.9999999995</v>
      </c>
      <c r="AG100" s="46">
        <f t="shared" si="33"/>
        <v>3640437</v>
      </c>
      <c r="AH100" s="46">
        <f t="shared" si="33"/>
        <v>171195</v>
      </c>
      <c r="AI100" s="46">
        <f t="shared" si="33"/>
        <v>2887684</v>
      </c>
      <c r="AJ100" s="46">
        <f t="shared" si="33"/>
        <v>319265</v>
      </c>
      <c r="AK100" s="46">
        <f t="shared" si="33"/>
        <v>2360468</v>
      </c>
      <c r="AL100" s="46">
        <f t="shared" si="33"/>
        <v>2365048</v>
      </c>
      <c r="AM100" s="46">
        <f t="shared" si="33"/>
        <v>2165780</v>
      </c>
      <c r="AN100" s="46">
        <f t="shared" si="33"/>
        <v>1763299.0000000002</v>
      </c>
      <c r="AO100" s="46">
        <f t="shared" si="33"/>
        <v>1125243.0000000002</v>
      </c>
      <c r="AP100" s="46">
        <f t="shared" si="33"/>
        <v>731770.9999999999</v>
      </c>
      <c r="AQ100" s="46">
        <f t="shared" si="33"/>
        <v>778423</v>
      </c>
      <c r="AR100" s="46">
        <f t="shared" si="33"/>
        <v>621437</v>
      </c>
      <c r="AS100" s="46">
        <f t="shared" si="33"/>
        <v>542470</v>
      </c>
      <c r="AT100" s="46">
        <f t="shared" si="33"/>
        <v>421445.00000000006</v>
      </c>
      <c r="AU100" s="46">
        <f t="shared" si="33"/>
        <v>440893</v>
      </c>
      <c r="AV100" s="46">
        <f t="shared" si="33"/>
        <v>435032.99999999994</v>
      </c>
      <c r="AW100" s="46">
        <f t="shared" si="33"/>
        <v>2644</v>
      </c>
      <c r="AX100" s="46">
        <f t="shared" si="33"/>
        <v>28800</v>
      </c>
      <c r="AY100" s="44"/>
      <c r="AZ100" s="104">
        <f>SUM(AZ98:AZ99)</f>
        <v>1343693668.9999998</v>
      </c>
      <c r="BA100" s="44"/>
      <c r="BB100" s="46">
        <f>SUM(BB98:BB99)</f>
        <v>234881608.00000006</v>
      </c>
      <c r="BC100" s="46">
        <f>SUM(BC98:BC99)</f>
        <v>1108812061</v>
      </c>
      <c r="BD100" s="52"/>
    </row>
    <row r="101" spans="1:56" ht="12.75" customHeight="1" thickBot="1">
      <c r="A101" s="105"/>
      <c r="B101" s="106"/>
      <c r="C101" s="107">
        <f aca="true" t="shared" si="34" ref="C101:AX101">+C100-C87</f>
        <v>0</v>
      </c>
      <c r="D101" s="107">
        <f t="shared" si="34"/>
        <v>0</v>
      </c>
      <c r="E101" s="107">
        <f t="shared" si="34"/>
        <v>0</v>
      </c>
      <c r="F101" s="107">
        <f t="shared" si="34"/>
        <v>0</v>
      </c>
      <c r="G101" s="107">
        <f t="shared" si="34"/>
        <v>0</v>
      </c>
      <c r="H101" s="107">
        <f t="shared" si="34"/>
        <v>0</v>
      </c>
      <c r="I101" s="107">
        <f t="shared" si="34"/>
        <v>0</v>
      </c>
      <c r="J101" s="107">
        <f t="shared" si="34"/>
        <v>0</v>
      </c>
      <c r="K101" s="107">
        <f t="shared" si="34"/>
        <v>0</v>
      </c>
      <c r="L101" s="107">
        <f t="shared" si="34"/>
        <v>0</v>
      </c>
      <c r="M101" s="107">
        <f t="shared" si="34"/>
        <v>0</v>
      </c>
      <c r="N101" s="107">
        <f t="shared" si="34"/>
        <v>0</v>
      </c>
      <c r="O101" s="107">
        <f t="shared" si="34"/>
        <v>0</v>
      </c>
      <c r="P101" s="107">
        <f t="shared" si="34"/>
        <v>0</v>
      </c>
      <c r="Q101" s="107">
        <f t="shared" si="34"/>
        <v>0</v>
      </c>
      <c r="R101" s="107">
        <f t="shared" si="34"/>
        <v>0</v>
      </c>
      <c r="S101" s="107">
        <f t="shared" si="34"/>
        <v>0</v>
      </c>
      <c r="T101" s="107">
        <f t="shared" si="34"/>
        <v>0</v>
      </c>
      <c r="U101" s="107">
        <f t="shared" si="34"/>
        <v>0</v>
      </c>
      <c r="V101" s="107">
        <f t="shared" si="34"/>
        <v>0</v>
      </c>
      <c r="W101" s="107">
        <f t="shared" si="34"/>
        <v>0</v>
      </c>
      <c r="X101" s="107">
        <f t="shared" si="34"/>
        <v>0</v>
      </c>
      <c r="Y101" s="107">
        <f t="shared" si="34"/>
        <v>0</v>
      </c>
      <c r="Z101" s="107">
        <f t="shared" si="34"/>
        <v>0</v>
      </c>
      <c r="AA101" s="107">
        <f t="shared" si="34"/>
        <v>0</v>
      </c>
      <c r="AB101" s="107">
        <f t="shared" si="34"/>
        <v>0</v>
      </c>
      <c r="AC101" s="107">
        <f t="shared" si="34"/>
        <v>0</v>
      </c>
      <c r="AD101" s="107">
        <f t="shared" si="34"/>
        <v>0</v>
      </c>
      <c r="AE101" s="107">
        <f t="shared" si="34"/>
        <v>0</v>
      </c>
      <c r="AF101" s="107">
        <f t="shared" si="34"/>
        <v>0</v>
      </c>
      <c r="AG101" s="107">
        <f t="shared" si="34"/>
        <v>0</v>
      </c>
      <c r="AH101" s="107">
        <f t="shared" si="34"/>
        <v>0</v>
      </c>
      <c r="AI101" s="107">
        <f t="shared" si="34"/>
        <v>0</v>
      </c>
      <c r="AJ101" s="107">
        <f t="shared" si="34"/>
        <v>0</v>
      </c>
      <c r="AK101" s="107">
        <f t="shared" si="34"/>
        <v>0</v>
      </c>
      <c r="AL101" s="107">
        <f t="shared" si="34"/>
        <v>0</v>
      </c>
      <c r="AM101" s="107">
        <f t="shared" si="34"/>
        <v>0</v>
      </c>
      <c r="AN101" s="107">
        <f t="shared" si="34"/>
        <v>0</v>
      </c>
      <c r="AO101" s="107">
        <f t="shared" si="34"/>
        <v>0</v>
      </c>
      <c r="AP101" s="107">
        <f t="shared" si="34"/>
        <v>0</v>
      </c>
      <c r="AQ101" s="107">
        <f t="shared" si="34"/>
        <v>0</v>
      </c>
      <c r="AR101" s="107">
        <f t="shared" si="34"/>
        <v>0</v>
      </c>
      <c r="AS101" s="107">
        <f t="shared" si="34"/>
        <v>0</v>
      </c>
      <c r="AT101" s="107">
        <f t="shared" si="34"/>
        <v>0</v>
      </c>
      <c r="AU101" s="107">
        <f t="shared" si="34"/>
        <v>0</v>
      </c>
      <c r="AV101" s="107">
        <f t="shared" si="34"/>
        <v>0</v>
      </c>
      <c r="AW101" s="107">
        <f t="shared" si="34"/>
        <v>0</v>
      </c>
      <c r="AX101" s="107">
        <f t="shared" si="34"/>
        <v>0</v>
      </c>
      <c r="AY101" s="108"/>
      <c r="AZ101" s="107">
        <f>+AZ100-'4.1. Samtryggingard.'!AZ86</f>
        <v>0</v>
      </c>
      <c r="BA101" s="107"/>
      <c r="BB101" s="107">
        <f>+BB100-'4.1. Samtryggingard.'!BB86</f>
        <v>0</v>
      </c>
      <c r="BC101" s="107">
        <f>+BC100-'4.1. Samtryggingard.'!BC86</f>
        <v>0</v>
      </c>
      <c r="BD101" s="52"/>
    </row>
    <row r="102" spans="3:56" ht="12.75" customHeight="1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52"/>
    </row>
    <row r="103" spans="3:56" ht="12.75" customHeight="1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52"/>
    </row>
    <row r="104" spans="3:56" ht="12.75" customHeight="1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52"/>
    </row>
    <row r="105" spans="3:56" ht="12.75" customHeight="1">
      <c r="C105" s="46"/>
      <c r="D105" s="46"/>
      <c r="E105" s="46"/>
      <c r="F105" s="12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12"/>
      <c r="T105" s="12"/>
      <c r="U105" s="46"/>
      <c r="V105" s="46"/>
      <c r="W105" s="46"/>
      <c r="X105" s="12"/>
      <c r="Y105" s="46"/>
      <c r="Z105" s="12"/>
      <c r="AA105" s="46"/>
      <c r="AB105" s="46"/>
      <c r="AC105" s="46"/>
      <c r="AD105" s="46"/>
      <c r="AE105" s="46"/>
      <c r="AF105" s="12"/>
      <c r="AG105" s="12"/>
      <c r="AH105" s="46"/>
      <c r="AI105" s="46"/>
      <c r="AJ105" s="46"/>
      <c r="AK105" s="46"/>
      <c r="AL105" s="12"/>
      <c r="AM105" s="12"/>
      <c r="AN105" s="46"/>
      <c r="AO105" s="12"/>
      <c r="AP105" s="46"/>
      <c r="AQ105" s="46"/>
      <c r="AR105" s="46"/>
      <c r="AS105" s="46"/>
      <c r="AT105" s="46"/>
      <c r="AU105" s="46"/>
      <c r="AV105" s="46"/>
      <c r="AW105" s="46"/>
      <c r="AX105" s="46"/>
      <c r="AZ105" s="12"/>
      <c r="BA105" s="12"/>
      <c r="BB105" s="12"/>
      <c r="BC105" s="12"/>
      <c r="BD105" s="52"/>
    </row>
  </sheetData>
  <sheetProtection/>
  <mergeCells count="48">
    <mergeCell ref="AW1:AW3"/>
    <mergeCell ref="I39:K39"/>
    <mergeCell ref="Z1:Z3"/>
    <mergeCell ref="AT1:AT3"/>
    <mergeCell ref="AU1:AU3"/>
    <mergeCell ref="AV1:AV3"/>
    <mergeCell ref="AM1:AM3"/>
    <mergeCell ref="AQ1:AQ3"/>
    <mergeCell ref="O1:O3"/>
    <mergeCell ref="L1:L3"/>
    <mergeCell ref="I40:J40"/>
    <mergeCell ref="AK1:AK3"/>
    <mergeCell ref="AC1:AC3"/>
    <mergeCell ref="F1:F3"/>
    <mergeCell ref="X1:X3"/>
    <mergeCell ref="AE1:AE3"/>
    <mergeCell ref="Q1:R1"/>
    <mergeCell ref="AA1:AA3"/>
    <mergeCell ref="G1:H1"/>
    <mergeCell ref="AJ1:AJ3"/>
    <mergeCell ref="T1:T3"/>
    <mergeCell ref="C1:D1"/>
    <mergeCell ref="V1:W1"/>
    <mergeCell ref="N1:N3"/>
    <mergeCell ref="P1:P3"/>
    <mergeCell ref="M1:M3"/>
    <mergeCell ref="E1:E3"/>
    <mergeCell ref="U1:U3"/>
    <mergeCell ref="AG1:AH1"/>
    <mergeCell ref="AI1:AI3"/>
    <mergeCell ref="Y1:Y3"/>
    <mergeCell ref="AO1:AO3"/>
    <mergeCell ref="S1:S3"/>
    <mergeCell ref="AS1:AS3"/>
    <mergeCell ref="AL1:AL3"/>
    <mergeCell ref="AD1:AD3"/>
    <mergeCell ref="AN1:AN3"/>
    <mergeCell ref="AF1:AF3"/>
    <mergeCell ref="G4:H4"/>
    <mergeCell ref="Q4:R4"/>
    <mergeCell ref="AG4:AH4"/>
    <mergeCell ref="C4:D4"/>
    <mergeCell ref="V4:W4"/>
    <mergeCell ref="AX1:AX3"/>
    <mergeCell ref="I1:K1"/>
    <mergeCell ref="AB1:AB3"/>
    <mergeCell ref="AP1:AP3"/>
    <mergeCell ref="AR1:AR3"/>
  </mergeCells>
  <printOptions/>
  <pageMargins left="0.4724409448818898" right="0.2755905511811024" top="1.1811023622047245" bottom="0.2755905511811024" header="0.5118110236220472" footer="0.1968503937007874"/>
  <pageSetup firstPageNumber="38" useFirstPageNumber="1" horizontalDpi="600" verticalDpi="600" orientation="portrait" paperSize="9" scale="96" r:id="rId1"/>
  <headerFooter alignWithMargins="0">
    <oddHeader>&amp;C&amp;"Times New Roman,Bold"&amp;12 4.2. KENNITÖLUR SAMTRYGGINGARDEILDA ÁRIÐ 2006</oddHeader>
    <oddFooter>&amp;R&amp;"Times New Roman,Regular"&amp;P</oddFooter>
  </headerFooter>
  <colBreaks count="2" manualBreakCount="2">
    <brk id="8" max="57" man="1"/>
    <brk id="21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233"/>
  <sheetViews>
    <sheetView view="pageBreakPreview" zoomScaleSheetLayoutView="100" zoomScalePageLayoutView="0" workbookViewId="0" topLeftCell="A1">
      <pane xSplit="2" ySplit="5" topLeftCell="C1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" sqref="A13"/>
    </sheetView>
  </sheetViews>
  <sheetFormatPr defaultColWidth="9.140625" defaultRowHeight="11.25" customHeight="1" outlineLevelRow="1"/>
  <cols>
    <col min="1" max="1" width="24.00390625" style="11" customWidth="1"/>
    <col min="2" max="2" width="0.9921875" style="11" customWidth="1"/>
    <col min="3" max="16" width="9.28125" style="11" customWidth="1"/>
    <col min="17" max="24" width="8.140625" style="11" customWidth="1"/>
    <col min="25" max="25" width="7.28125" style="11" customWidth="1"/>
    <col min="26" max="39" width="9.28125" style="11" customWidth="1"/>
    <col min="40" max="45" width="8.28125" style="11" customWidth="1"/>
    <col min="46" max="46" width="9.421875" style="11" customWidth="1"/>
    <col min="47" max="47" width="3.7109375" style="11" customWidth="1"/>
    <col min="48" max="48" width="9.28125" style="11" customWidth="1"/>
    <col min="49" max="16384" width="9.140625" style="11" customWidth="1"/>
  </cols>
  <sheetData>
    <row r="1" spans="3:48" s="37" customFormat="1" ht="11.25" customHeight="1">
      <c r="C1" s="367" t="s">
        <v>263</v>
      </c>
      <c r="D1" s="367"/>
      <c r="E1" s="367"/>
      <c r="F1" s="368" t="s">
        <v>176</v>
      </c>
      <c r="G1" s="367" t="s">
        <v>25</v>
      </c>
      <c r="H1" s="367"/>
      <c r="I1" s="367"/>
      <c r="J1" s="367" t="s">
        <v>0</v>
      </c>
      <c r="K1" s="367"/>
      <c r="L1" s="367"/>
      <c r="M1" s="367"/>
      <c r="N1" s="367"/>
      <c r="O1" s="367"/>
      <c r="P1" s="367"/>
      <c r="Q1" s="367" t="s">
        <v>23</v>
      </c>
      <c r="R1" s="367"/>
      <c r="S1" s="367"/>
      <c r="T1" s="367"/>
      <c r="U1" s="367" t="s">
        <v>33</v>
      </c>
      <c r="V1" s="367"/>
      <c r="W1" s="367"/>
      <c r="X1" s="367"/>
      <c r="Y1" s="367"/>
      <c r="Z1" s="367" t="s">
        <v>262</v>
      </c>
      <c r="AA1" s="367"/>
      <c r="AB1" s="367"/>
      <c r="AC1" s="367" t="s">
        <v>29</v>
      </c>
      <c r="AD1" s="367"/>
      <c r="AE1" s="368" t="s">
        <v>2</v>
      </c>
      <c r="AF1" s="370" t="s">
        <v>24</v>
      </c>
      <c r="AG1" s="368" t="s">
        <v>27</v>
      </c>
      <c r="AH1" s="367" t="s">
        <v>31</v>
      </c>
      <c r="AI1" s="367"/>
      <c r="AJ1" s="370" t="s">
        <v>32</v>
      </c>
      <c r="AK1" s="367" t="s">
        <v>486</v>
      </c>
      <c r="AL1" s="367"/>
      <c r="AM1" s="367"/>
      <c r="AN1" s="367" t="s">
        <v>26</v>
      </c>
      <c r="AO1" s="367"/>
      <c r="AP1" s="367"/>
      <c r="AQ1" s="367"/>
      <c r="AR1" s="367" t="s">
        <v>601</v>
      </c>
      <c r="AS1" s="367"/>
      <c r="AT1" s="368" t="s">
        <v>175</v>
      </c>
      <c r="AV1" s="371" t="s">
        <v>266</v>
      </c>
    </row>
    <row r="2" spans="3:48" s="37" customFormat="1" ht="11.25" customHeight="1">
      <c r="C2" s="121"/>
      <c r="D2" s="121"/>
      <c r="E2" s="121"/>
      <c r="F2" s="368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368"/>
      <c r="AF2" s="370"/>
      <c r="AG2" s="368"/>
      <c r="AH2" s="121"/>
      <c r="AI2" s="121"/>
      <c r="AJ2" s="370"/>
      <c r="AK2" s="121"/>
      <c r="AL2" s="121"/>
      <c r="AM2" s="121"/>
      <c r="AN2" s="121"/>
      <c r="AO2" s="121"/>
      <c r="AP2" s="121"/>
      <c r="AQ2" s="121"/>
      <c r="AR2" s="121"/>
      <c r="AS2" s="121"/>
      <c r="AT2" s="368"/>
      <c r="AV2" s="371"/>
    </row>
    <row r="3" spans="6:48" s="21" customFormat="1" ht="11.25" customHeight="1">
      <c r="F3" s="369" t="s">
        <v>286</v>
      </c>
      <c r="AE3" s="369" t="s">
        <v>286</v>
      </c>
      <c r="AF3" s="370"/>
      <c r="AJ3" s="370"/>
      <c r="AT3" s="369"/>
      <c r="AV3" s="371"/>
    </row>
    <row r="4" spans="1:46" s="21" customFormat="1" ht="11.25" customHeight="1">
      <c r="A4" s="6" t="s">
        <v>8</v>
      </c>
      <c r="C4" s="363" t="s">
        <v>544</v>
      </c>
      <c r="D4" s="363"/>
      <c r="E4" s="363"/>
      <c r="F4" s="332" t="s">
        <v>578</v>
      </c>
      <c r="G4" s="363" t="s">
        <v>555</v>
      </c>
      <c r="H4" s="363"/>
      <c r="I4" s="363"/>
      <c r="J4" s="363" t="s">
        <v>582</v>
      </c>
      <c r="K4" s="363"/>
      <c r="L4" s="363"/>
      <c r="M4" s="363"/>
      <c r="N4" s="363"/>
      <c r="O4" s="363"/>
      <c r="P4" s="363"/>
      <c r="Q4" s="363" t="s">
        <v>545</v>
      </c>
      <c r="R4" s="363"/>
      <c r="S4" s="363"/>
      <c r="T4" s="363"/>
      <c r="U4" s="363" t="s">
        <v>584</v>
      </c>
      <c r="V4" s="363"/>
      <c r="W4" s="363"/>
      <c r="X4" s="363"/>
      <c r="Y4" s="363"/>
      <c r="Z4" s="363" t="s">
        <v>554</v>
      </c>
      <c r="AA4" s="363"/>
      <c r="AB4" s="363"/>
      <c r="AC4" s="363" t="s">
        <v>566</v>
      </c>
      <c r="AD4" s="363"/>
      <c r="AE4" s="332" t="s">
        <v>583</v>
      </c>
      <c r="AF4" s="332" t="s">
        <v>553</v>
      </c>
      <c r="AG4" s="332" t="s">
        <v>558</v>
      </c>
      <c r="AH4" s="363" t="s">
        <v>577</v>
      </c>
      <c r="AI4" s="363"/>
      <c r="AJ4" s="332" t="s">
        <v>579</v>
      </c>
      <c r="AK4" s="363" t="s">
        <v>574</v>
      </c>
      <c r="AL4" s="363"/>
      <c r="AM4" s="363"/>
      <c r="AN4" s="363" t="s">
        <v>556</v>
      </c>
      <c r="AO4" s="363"/>
      <c r="AP4" s="363"/>
      <c r="AQ4" s="363"/>
      <c r="AR4" s="363" t="s">
        <v>580</v>
      </c>
      <c r="AS4" s="363"/>
      <c r="AT4" s="332" t="s">
        <v>576</v>
      </c>
    </row>
    <row r="5" spans="1:48" s="21" customFormat="1" ht="11.25" customHeight="1">
      <c r="A5" s="6"/>
      <c r="C5" s="21" t="s">
        <v>283</v>
      </c>
      <c r="D5" s="21" t="s">
        <v>284</v>
      </c>
      <c r="E5" s="21" t="s">
        <v>285</v>
      </c>
      <c r="F5" s="297"/>
      <c r="G5" s="21" t="s">
        <v>274</v>
      </c>
      <c r="H5" s="21" t="s">
        <v>275</v>
      </c>
      <c r="I5" s="21" t="s">
        <v>276</v>
      </c>
      <c r="J5" s="21" t="s">
        <v>287</v>
      </c>
      <c r="K5" s="21" t="s">
        <v>288</v>
      </c>
      <c r="L5" s="21" t="s">
        <v>289</v>
      </c>
      <c r="M5" s="21" t="s">
        <v>290</v>
      </c>
      <c r="N5" s="21" t="s">
        <v>291</v>
      </c>
      <c r="O5" s="21" t="s">
        <v>292</v>
      </c>
      <c r="P5" s="21" t="s">
        <v>293</v>
      </c>
      <c r="Q5" s="21" t="s">
        <v>267</v>
      </c>
      <c r="R5" s="21" t="s">
        <v>268</v>
      </c>
      <c r="S5" s="21" t="s">
        <v>269</v>
      </c>
      <c r="T5" s="21" t="s">
        <v>270</v>
      </c>
      <c r="U5" s="21" t="s">
        <v>283</v>
      </c>
      <c r="V5" s="21" t="s">
        <v>284</v>
      </c>
      <c r="W5" s="21" t="s">
        <v>285</v>
      </c>
      <c r="X5" s="21" t="s">
        <v>294</v>
      </c>
      <c r="Y5" s="21" t="s">
        <v>295</v>
      </c>
      <c r="Z5" s="21" t="s">
        <v>271</v>
      </c>
      <c r="AA5" s="21" t="s">
        <v>272</v>
      </c>
      <c r="AB5" s="21" t="s">
        <v>273</v>
      </c>
      <c r="AC5" s="21" t="s">
        <v>281</v>
      </c>
      <c r="AD5" s="21" t="s">
        <v>282</v>
      </c>
      <c r="AE5" s="297"/>
      <c r="AH5" s="21" t="s">
        <v>18</v>
      </c>
      <c r="AI5" s="21" t="s">
        <v>19</v>
      </c>
      <c r="AJ5" s="298"/>
      <c r="AK5" s="21" t="s">
        <v>283</v>
      </c>
      <c r="AL5" s="21" t="s">
        <v>284</v>
      </c>
      <c r="AM5" s="21" t="s">
        <v>285</v>
      </c>
      <c r="AN5" s="21" t="s">
        <v>277</v>
      </c>
      <c r="AO5" s="21" t="s">
        <v>278</v>
      </c>
      <c r="AP5" s="21" t="s">
        <v>279</v>
      </c>
      <c r="AQ5" s="21" t="s">
        <v>280</v>
      </c>
      <c r="AR5" s="21" t="s">
        <v>281</v>
      </c>
      <c r="AS5" s="21" t="s">
        <v>282</v>
      </c>
      <c r="AT5" s="297"/>
      <c r="AV5" s="1" t="str">
        <f>CONCATENATE(AV162," deildir")</f>
        <v>44 deildir</v>
      </c>
    </row>
    <row r="6" spans="1:48" ht="16.5" customHeight="1">
      <c r="A6" s="9" t="s">
        <v>296</v>
      </c>
      <c r="B6" s="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V6" s="2"/>
    </row>
    <row r="7" spans="1:46" ht="16.5" customHeight="1">
      <c r="A7" s="9" t="s">
        <v>41</v>
      </c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8" ht="11.25" customHeight="1" outlineLevel="1">
      <c r="A8" s="4" t="s">
        <v>42</v>
      </c>
      <c r="B8" s="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V8" s="123"/>
    </row>
    <row r="9" spans="1:48" ht="11.25" customHeight="1" outlineLevel="1">
      <c r="A9" s="6" t="s">
        <v>43</v>
      </c>
      <c r="B9" s="6"/>
      <c r="C9" s="122">
        <v>334586</v>
      </c>
      <c r="D9" s="122">
        <v>133199</v>
      </c>
      <c r="E9" s="122">
        <v>40593</v>
      </c>
      <c r="F9" s="122">
        <v>246759</v>
      </c>
      <c r="G9" s="122">
        <v>53160</v>
      </c>
      <c r="H9" s="122">
        <v>77861</v>
      </c>
      <c r="I9" s="122">
        <v>1424</v>
      </c>
      <c r="J9" s="122">
        <v>10720</v>
      </c>
      <c r="K9" s="122">
        <v>13452</v>
      </c>
      <c r="L9" s="122">
        <v>7732</v>
      </c>
      <c r="M9" s="122">
        <v>10449</v>
      </c>
      <c r="N9" s="122">
        <v>683</v>
      </c>
      <c r="O9" s="122">
        <v>28906</v>
      </c>
      <c r="P9" s="122">
        <v>210979</v>
      </c>
      <c r="Q9" s="122">
        <v>750074</v>
      </c>
      <c r="R9" s="122">
        <v>796311</v>
      </c>
      <c r="S9" s="122">
        <v>487138</v>
      </c>
      <c r="T9" s="122">
        <v>25209</v>
      </c>
      <c r="U9" s="122">
        <v>1964</v>
      </c>
      <c r="V9" s="122">
        <v>62557</v>
      </c>
      <c r="W9" s="122">
        <v>3847</v>
      </c>
      <c r="X9" s="122">
        <v>12205</v>
      </c>
      <c r="Y9" s="122">
        <v>48714</v>
      </c>
      <c r="Z9" s="122">
        <v>1177923</v>
      </c>
      <c r="AA9" s="122">
        <v>81501</v>
      </c>
      <c r="AB9" s="122">
        <v>114291</v>
      </c>
      <c r="AC9" s="122">
        <v>24526</v>
      </c>
      <c r="AD9" s="122">
        <v>74156</v>
      </c>
      <c r="AE9" s="122">
        <v>22675</v>
      </c>
      <c r="AF9" s="122">
        <v>3609</v>
      </c>
      <c r="AG9" s="124">
        <v>0</v>
      </c>
      <c r="AH9" s="122">
        <v>111635</v>
      </c>
      <c r="AI9" s="122">
        <v>845</v>
      </c>
      <c r="AJ9" s="122">
        <v>14015</v>
      </c>
      <c r="AK9" s="122">
        <v>57373</v>
      </c>
      <c r="AL9" s="122">
        <v>11259</v>
      </c>
      <c r="AM9" s="122">
        <v>7447</v>
      </c>
      <c r="AN9" s="122">
        <v>1012583</v>
      </c>
      <c r="AO9" s="122">
        <v>347436</v>
      </c>
      <c r="AP9" s="122">
        <v>132852</v>
      </c>
      <c r="AQ9" s="122">
        <v>223999</v>
      </c>
      <c r="AR9" s="122">
        <v>3681</v>
      </c>
      <c r="AS9" s="122">
        <v>8854</v>
      </c>
      <c r="AT9" s="122">
        <v>27018</v>
      </c>
      <c r="AV9" s="123">
        <f>SUM(C9:AT9)</f>
        <v>6816200</v>
      </c>
    </row>
    <row r="10" spans="1:48" ht="11.25" customHeight="1" outlineLevel="1">
      <c r="A10" s="6" t="s">
        <v>44</v>
      </c>
      <c r="B10" s="6"/>
      <c r="C10" s="122">
        <v>212170</v>
      </c>
      <c r="D10" s="122">
        <v>73737</v>
      </c>
      <c r="E10" s="122">
        <v>24110</v>
      </c>
      <c r="F10" s="122">
        <v>382144</v>
      </c>
      <c r="G10" s="122">
        <v>38548</v>
      </c>
      <c r="H10" s="122">
        <v>66937</v>
      </c>
      <c r="I10" s="122">
        <v>1519</v>
      </c>
      <c r="J10" s="122">
        <v>7267</v>
      </c>
      <c r="K10" s="122">
        <v>8202</v>
      </c>
      <c r="L10" s="122">
        <v>5293</v>
      </c>
      <c r="M10" s="122">
        <v>6650</v>
      </c>
      <c r="N10" s="122">
        <v>347</v>
      </c>
      <c r="O10" s="122">
        <v>26268</v>
      </c>
      <c r="P10" s="122">
        <v>55444</v>
      </c>
      <c r="Q10" s="122">
        <v>890523</v>
      </c>
      <c r="R10" s="122">
        <v>1306928</v>
      </c>
      <c r="S10" s="122">
        <v>180277</v>
      </c>
      <c r="T10" s="122">
        <v>52359</v>
      </c>
      <c r="U10" s="122">
        <v>2115</v>
      </c>
      <c r="V10" s="122">
        <v>53467</v>
      </c>
      <c r="W10" s="122">
        <v>3574</v>
      </c>
      <c r="X10" s="122">
        <v>11289</v>
      </c>
      <c r="Y10" s="122">
        <v>140078</v>
      </c>
      <c r="Z10" s="122">
        <v>1791100</v>
      </c>
      <c r="AA10" s="122">
        <v>130237</v>
      </c>
      <c r="AB10" s="122">
        <v>168912</v>
      </c>
      <c r="AC10" s="122">
        <v>16298</v>
      </c>
      <c r="AD10" s="122">
        <v>53209</v>
      </c>
      <c r="AE10" s="122">
        <v>19092</v>
      </c>
      <c r="AF10" s="122">
        <v>10383</v>
      </c>
      <c r="AG10" s="124">
        <v>0</v>
      </c>
      <c r="AH10" s="122">
        <v>208276</v>
      </c>
      <c r="AI10" s="122">
        <v>6284</v>
      </c>
      <c r="AJ10" s="122">
        <v>10409</v>
      </c>
      <c r="AK10" s="122">
        <v>35105</v>
      </c>
      <c r="AL10" s="122">
        <v>6214</v>
      </c>
      <c r="AM10" s="122">
        <v>3843</v>
      </c>
      <c r="AN10" s="122">
        <v>1031643</v>
      </c>
      <c r="AO10" s="122">
        <v>373638</v>
      </c>
      <c r="AP10" s="122">
        <v>141413</v>
      </c>
      <c r="AQ10" s="122">
        <v>167491</v>
      </c>
      <c r="AR10" s="122">
        <v>2527</v>
      </c>
      <c r="AS10" s="122">
        <v>5714</v>
      </c>
      <c r="AT10" s="122">
        <v>37456</v>
      </c>
      <c r="AV10" s="123">
        <f>SUM(C10:AT10)</f>
        <v>7768490</v>
      </c>
    </row>
    <row r="11" spans="1:48" ht="11.25" customHeight="1" outlineLevel="1">
      <c r="A11" s="6" t="s">
        <v>45</v>
      </c>
      <c r="B11" s="6"/>
      <c r="C11" s="122">
        <v>-137901</v>
      </c>
      <c r="D11" s="122">
        <v>39299</v>
      </c>
      <c r="E11" s="122">
        <v>30922</v>
      </c>
      <c r="F11" s="122">
        <v>0</v>
      </c>
      <c r="G11" s="122">
        <v>2208</v>
      </c>
      <c r="H11" s="122">
        <v>-20196</v>
      </c>
      <c r="I11" s="122">
        <v>-4824</v>
      </c>
      <c r="J11" s="122">
        <v>-4862</v>
      </c>
      <c r="K11" s="122">
        <v>-281</v>
      </c>
      <c r="L11" s="122">
        <v>-494</v>
      </c>
      <c r="M11" s="122">
        <v>-3510</v>
      </c>
      <c r="N11" s="124">
        <v>0</v>
      </c>
      <c r="O11" s="122">
        <v>-31510</v>
      </c>
      <c r="P11" s="122">
        <v>41107</v>
      </c>
      <c r="Q11" s="122">
        <v>183760</v>
      </c>
      <c r="R11" s="122">
        <v>350966</v>
      </c>
      <c r="S11" s="122">
        <v>-57655</v>
      </c>
      <c r="T11" s="122">
        <v>53386</v>
      </c>
      <c r="U11" s="122">
        <v>2003</v>
      </c>
      <c r="V11" s="122">
        <v>-10457</v>
      </c>
      <c r="W11" s="122">
        <v>-899</v>
      </c>
      <c r="X11" s="122">
        <v>-2745</v>
      </c>
      <c r="Y11" s="122">
        <v>-23036</v>
      </c>
      <c r="Z11" s="122">
        <v>-382648</v>
      </c>
      <c r="AA11" s="122">
        <v>-107634</v>
      </c>
      <c r="AB11" s="122">
        <v>-177924</v>
      </c>
      <c r="AC11" s="122">
        <v>-5466</v>
      </c>
      <c r="AD11" s="122">
        <v>-18454</v>
      </c>
      <c r="AE11" s="122">
        <v>-3239</v>
      </c>
      <c r="AF11" s="122">
        <v>-808</v>
      </c>
      <c r="AG11" s="124">
        <v>0</v>
      </c>
      <c r="AH11" s="122">
        <v>-37003</v>
      </c>
      <c r="AI11" s="122">
        <v>28719</v>
      </c>
      <c r="AJ11" s="124">
        <v>0</v>
      </c>
      <c r="AK11" s="122">
        <v>-87</v>
      </c>
      <c r="AL11" s="124">
        <v>0</v>
      </c>
      <c r="AM11" s="124">
        <v>0</v>
      </c>
      <c r="AN11" s="122">
        <v>-539960</v>
      </c>
      <c r="AO11" s="122">
        <v>-2077321</v>
      </c>
      <c r="AP11" s="122">
        <v>2146456</v>
      </c>
      <c r="AQ11" s="122">
        <v>1306453</v>
      </c>
      <c r="AR11" s="122">
        <v>-326</v>
      </c>
      <c r="AS11" s="122">
        <v>-248</v>
      </c>
      <c r="AT11" s="122">
        <v>1934</v>
      </c>
      <c r="AV11" s="123">
        <f>SUM(C11:AT11)</f>
        <v>537725</v>
      </c>
    </row>
    <row r="12" spans="1:48" ht="11.25" customHeight="1" outlineLevel="1">
      <c r="A12" s="6" t="s">
        <v>46</v>
      </c>
      <c r="B12" s="6"/>
      <c r="C12" s="124">
        <v>0</v>
      </c>
      <c r="D12" s="124">
        <v>0</v>
      </c>
      <c r="E12" s="124">
        <v>0</v>
      </c>
      <c r="F12" s="122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2">
        <v>1596178</v>
      </c>
      <c r="AA12" s="122">
        <v>76905</v>
      </c>
      <c r="AB12" s="122">
        <v>105965</v>
      </c>
      <c r="AC12" s="124">
        <v>0</v>
      </c>
      <c r="AD12" s="124">
        <v>0</v>
      </c>
      <c r="AE12" s="124">
        <v>0</v>
      </c>
      <c r="AF12" s="122">
        <v>0</v>
      </c>
      <c r="AG12" s="124">
        <v>0</v>
      </c>
      <c r="AH12" s="124">
        <v>0</v>
      </c>
      <c r="AI12" s="124">
        <v>0</v>
      </c>
      <c r="AJ12" s="124">
        <v>0</v>
      </c>
      <c r="AK12" s="122">
        <v>-7905</v>
      </c>
      <c r="AL12" s="122">
        <v>2445</v>
      </c>
      <c r="AM12" s="122">
        <v>-1759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V12" s="123">
        <f>SUM(C12:AT12)</f>
        <v>1771829</v>
      </c>
    </row>
    <row r="13" spans="1:48" ht="11.25" customHeight="1">
      <c r="A13" s="125" t="s">
        <v>47</v>
      </c>
      <c r="B13" s="125"/>
      <c r="C13" s="124">
        <f aca="true" t="shared" si="0" ref="C13:AT13">SUM(C9:C12)</f>
        <v>408855</v>
      </c>
      <c r="D13" s="124">
        <f t="shared" si="0"/>
        <v>246235</v>
      </c>
      <c r="E13" s="124">
        <f t="shared" si="0"/>
        <v>95625</v>
      </c>
      <c r="F13" s="124">
        <f t="shared" si="0"/>
        <v>628903</v>
      </c>
      <c r="G13" s="124">
        <f t="shared" si="0"/>
        <v>93916</v>
      </c>
      <c r="H13" s="124">
        <f t="shared" si="0"/>
        <v>124602</v>
      </c>
      <c r="I13" s="124">
        <f t="shared" si="0"/>
        <v>-1881</v>
      </c>
      <c r="J13" s="124">
        <f t="shared" si="0"/>
        <v>13125</v>
      </c>
      <c r="K13" s="124">
        <f t="shared" si="0"/>
        <v>21373</v>
      </c>
      <c r="L13" s="124">
        <f t="shared" si="0"/>
        <v>12531</v>
      </c>
      <c r="M13" s="124">
        <f t="shared" si="0"/>
        <v>13589</v>
      </c>
      <c r="N13" s="124">
        <f t="shared" si="0"/>
        <v>1030</v>
      </c>
      <c r="O13" s="124">
        <f t="shared" si="0"/>
        <v>23664</v>
      </c>
      <c r="P13" s="124">
        <f t="shared" si="0"/>
        <v>307530</v>
      </c>
      <c r="Q13" s="124">
        <f t="shared" si="0"/>
        <v>1824357</v>
      </c>
      <c r="R13" s="124">
        <f t="shared" si="0"/>
        <v>2454205</v>
      </c>
      <c r="S13" s="124">
        <f t="shared" si="0"/>
        <v>609760</v>
      </c>
      <c r="T13" s="124">
        <f t="shared" si="0"/>
        <v>130954</v>
      </c>
      <c r="U13" s="124">
        <f t="shared" si="0"/>
        <v>6082</v>
      </c>
      <c r="V13" s="124">
        <f t="shared" si="0"/>
        <v>105567</v>
      </c>
      <c r="W13" s="124">
        <f t="shared" si="0"/>
        <v>6522</v>
      </c>
      <c r="X13" s="124">
        <f t="shared" si="0"/>
        <v>20749</v>
      </c>
      <c r="Y13" s="124">
        <f t="shared" si="0"/>
        <v>165756</v>
      </c>
      <c r="Z13" s="124">
        <f t="shared" si="0"/>
        <v>4182553</v>
      </c>
      <c r="AA13" s="124">
        <f t="shared" si="0"/>
        <v>181009</v>
      </c>
      <c r="AB13" s="124">
        <f t="shared" si="0"/>
        <v>211244</v>
      </c>
      <c r="AC13" s="124">
        <f t="shared" si="0"/>
        <v>35358</v>
      </c>
      <c r="AD13" s="124">
        <f t="shared" si="0"/>
        <v>108911</v>
      </c>
      <c r="AE13" s="124">
        <f t="shared" si="0"/>
        <v>38528</v>
      </c>
      <c r="AF13" s="124">
        <f t="shared" si="0"/>
        <v>13184</v>
      </c>
      <c r="AG13" s="124">
        <f t="shared" si="0"/>
        <v>0</v>
      </c>
      <c r="AH13" s="124">
        <f t="shared" si="0"/>
        <v>282908</v>
      </c>
      <c r="AI13" s="124">
        <f t="shared" si="0"/>
        <v>35848</v>
      </c>
      <c r="AJ13" s="124">
        <f t="shared" si="0"/>
        <v>24424</v>
      </c>
      <c r="AK13" s="124">
        <f t="shared" si="0"/>
        <v>84486</v>
      </c>
      <c r="AL13" s="124">
        <f t="shared" si="0"/>
        <v>19918</v>
      </c>
      <c r="AM13" s="124">
        <f t="shared" si="0"/>
        <v>9531</v>
      </c>
      <c r="AN13" s="124">
        <f t="shared" si="0"/>
        <v>1504266</v>
      </c>
      <c r="AO13" s="124">
        <f t="shared" si="0"/>
        <v>-1356247</v>
      </c>
      <c r="AP13" s="124">
        <f t="shared" si="0"/>
        <v>2420721</v>
      </c>
      <c r="AQ13" s="124">
        <f t="shared" si="0"/>
        <v>1697943</v>
      </c>
      <c r="AR13" s="124">
        <f t="shared" si="0"/>
        <v>5882</v>
      </c>
      <c r="AS13" s="124">
        <f t="shared" si="0"/>
        <v>14320</v>
      </c>
      <c r="AT13" s="124">
        <f t="shared" si="0"/>
        <v>66408</v>
      </c>
      <c r="AV13" s="123">
        <f>SUM(AV9:AV12)</f>
        <v>16894244</v>
      </c>
    </row>
    <row r="14" spans="1:48" ht="11.25" customHeight="1">
      <c r="A14" s="125"/>
      <c r="B14" s="125"/>
      <c r="C14" s="124"/>
      <c r="D14" s="124"/>
      <c r="E14" s="124"/>
      <c r="F14" s="122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2"/>
      <c r="AA14" s="122"/>
      <c r="AB14" s="122"/>
      <c r="AC14" s="124"/>
      <c r="AD14" s="124"/>
      <c r="AE14" s="124"/>
      <c r="AF14" s="122"/>
      <c r="AG14" s="124"/>
      <c r="AH14" s="124"/>
      <c r="AI14" s="124"/>
      <c r="AJ14" s="124"/>
      <c r="AK14" s="122"/>
      <c r="AL14" s="122"/>
      <c r="AM14" s="122"/>
      <c r="AN14" s="124"/>
      <c r="AO14" s="124"/>
      <c r="AP14" s="124"/>
      <c r="AQ14" s="124"/>
      <c r="AR14" s="124"/>
      <c r="AS14" s="124"/>
      <c r="AT14" s="124"/>
      <c r="AV14" s="123"/>
    </row>
    <row r="15" spans="1:48" ht="11.25" customHeight="1" outlineLevel="1">
      <c r="A15" s="125" t="s">
        <v>48</v>
      </c>
      <c r="B15" s="125"/>
      <c r="C15" s="124"/>
      <c r="D15" s="124"/>
      <c r="E15" s="124"/>
      <c r="F15" s="122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2"/>
      <c r="AA15" s="122"/>
      <c r="AB15" s="122"/>
      <c r="AC15" s="124"/>
      <c r="AD15" s="124"/>
      <c r="AE15" s="124"/>
      <c r="AF15" s="122"/>
      <c r="AG15" s="124"/>
      <c r="AH15" s="124"/>
      <c r="AI15" s="124"/>
      <c r="AJ15" s="124"/>
      <c r="AK15" s="122"/>
      <c r="AL15" s="122"/>
      <c r="AM15" s="122"/>
      <c r="AN15" s="124"/>
      <c r="AO15" s="124"/>
      <c r="AP15" s="124"/>
      <c r="AQ15" s="124"/>
      <c r="AR15" s="124"/>
      <c r="AS15" s="124"/>
      <c r="AT15" s="124"/>
      <c r="AV15" s="123"/>
    </row>
    <row r="16" spans="1:48" ht="11.25" customHeight="1" outlineLevel="1">
      <c r="A16" s="126" t="s">
        <v>49</v>
      </c>
      <c r="B16" s="126"/>
      <c r="C16" s="122">
        <v>32060</v>
      </c>
      <c r="D16" s="122">
        <v>33926</v>
      </c>
      <c r="E16" s="122">
        <v>45252</v>
      </c>
      <c r="F16" s="122">
        <v>80889</v>
      </c>
      <c r="G16" s="122">
        <v>5659</v>
      </c>
      <c r="H16" s="122">
        <v>42428</v>
      </c>
      <c r="I16" s="122">
        <v>750</v>
      </c>
      <c r="J16" s="122">
        <v>0</v>
      </c>
      <c r="K16" s="122">
        <v>0</v>
      </c>
      <c r="L16" s="122">
        <v>0</v>
      </c>
      <c r="M16" s="122">
        <v>408</v>
      </c>
      <c r="N16" s="122">
        <v>991</v>
      </c>
      <c r="O16" s="122">
        <v>5094</v>
      </c>
      <c r="P16" s="122">
        <v>60047</v>
      </c>
      <c r="Q16" s="122">
        <v>24300</v>
      </c>
      <c r="R16" s="122">
        <v>233245</v>
      </c>
      <c r="S16" s="122">
        <v>170820</v>
      </c>
      <c r="T16" s="122">
        <v>123021</v>
      </c>
      <c r="U16" s="122">
        <v>668</v>
      </c>
      <c r="V16" s="122">
        <v>6902</v>
      </c>
      <c r="W16" s="122">
        <v>2051</v>
      </c>
      <c r="X16" s="122">
        <v>581</v>
      </c>
      <c r="Y16" s="122">
        <v>47076</v>
      </c>
      <c r="Z16" s="122">
        <v>263039</v>
      </c>
      <c r="AA16" s="122">
        <v>77058</v>
      </c>
      <c r="AB16" s="122">
        <v>316558</v>
      </c>
      <c r="AC16" s="122">
        <v>21752</v>
      </c>
      <c r="AD16" s="122">
        <v>9521</v>
      </c>
      <c r="AE16" s="122">
        <v>7025</v>
      </c>
      <c r="AF16" s="122">
        <v>777</v>
      </c>
      <c r="AG16" s="122">
        <v>247</v>
      </c>
      <c r="AH16" s="122">
        <v>5435</v>
      </c>
      <c r="AI16" s="124">
        <v>0</v>
      </c>
      <c r="AJ16" s="122">
        <v>5965</v>
      </c>
      <c r="AK16" s="122">
        <v>9946</v>
      </c>
      <c r="AL16" s="122">
        <v>673</v>
      </c>
      <c r="AM16" s="122">
        <v>3870</v>
      </c>
      <c r="AN16" s="122">
        <v>5697</v>
      </c>
      <c r="AO16" s="122">
        <v>39421</v>
      </c>
      <c r="AP16" s="122">
        <v>100874</v>
      </c>
      <c r="AQ16" s="122">
        <v>109253</v>
      </c>
      <c r="AR16" s="122">
        <v>3456</v>
      </c>
      <c r="AS16" s="122">
        <v>229</v>
      </c>
      <c r="AT16" s="122">
        <v>36442</v>
      </c>
      <c r="AV16" s="123">
        <f>SUM(C16:AT16)</f>
        <v>1933406</v>
      </c>
    </row>
    <row r="17" spans="1:48" ht="11.25" customHeight="1" outlineLevel="1">
      <c r="A17" s="126" t="s">
        <v>50</v>
      </c>
      <c r="B17" s="126"/>
      <c r="C17" s="124">
        <v>0</v>
      </c>
      <c r="D17" s="124">
        <v>0</v>
      </c>
      <c r="E17" s="124">
        <v>0</v>
      </c>
      <c r="F17" s="122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2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V17" s="123">
        <f>SUM(C17:AT17)</f>
        <v>0</v>
      </c>
    </row>
    <row r="18" spans="1:48" ht="11.25" customHeight="1" outlineLevel="1">
      <c r="A18" s="126" t="s">
        <v>51</v>
      </c>
      <c r="B18" s="126"/>
      <c r="C18" s="124">
        <v>0</v>
      </c>
      <c r="D18" s="124">
        <v>0</v>
      </c>
      <c r="E18" s="124">
        <v>0</v>
      </c>
      <c r="F18" s="122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2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V18" s="123">
        <f>SUM(C18:AT18)</f>
        <v>0</v>
      </c>
    </row>
    <row r="19" spans="1:48" ht="11.25" customHeight="1" outlineLevel="1">
      <c r="A19" s="126" t="s">
        <v>52</v>
      </c>
      <c r="B19" s="126"/>
      <c r="C19" s="124">
        <v>0</v>
      </c>
      <c r="D19" s="124">
        <v>0</v>
      </c>
      <c r="E19" s="124">
        <v>0</v>
      </c>
      <c r="F19" s="122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V19" s="123">
        <f>SUM(C19:AT19)</f>
        <v>0</v>
      </c>
    </row>
    <row r="20" spans="1:48" ht="11.25" customHeight="1">
      <c r="A20" s="125" t="s">
        <v>53</v>
      </c>
      <c r="B20" s="125"/>
      <c r="C20" s="124">
        <f aca="true" t="shared" si="1" ref="C20:AT20">SUM(C16:C19)</f>
        <v>32060</v>
      </c>
      <c r="D20" s="124">
        <f t="shared" si="1"/>
        <v>33926</v>
      </c>
      <c r="E20" s="124">
        <f t="shared" si="1"/>
        <v>45252</v>
      </c>
      <c r="F20" s="124">
        <f t="shared" si="1"/>
        <v>80889</v>
      </c>
      <c r="G20" s="124">
        <f t="shared" si="1"/>
        <v>5659</v>
      </c>
      <c r="H20" s="124">
        <f t="shared" si="1"/>
        <v>42428</v>
      </c>
      <c r="I20" s="124">
        <f t="shared" si="1"/>
        <v>750</v>
      </c>
      <c r="J20" s="124">
        <f t="shared" si="1"/>
        <v>0</v>
      </c>
      <c r="K20" s="124">
        <f t="shared" si="1"/>
        <v>0</v>
      </c>
      <c r="L20" s="124">
        <f t="shared" si="1"/>
        <v>0</v>
      </c>
      <c r="M20" s="124">
        <f t="shared" si="1"/>
        <v>408</v>
      </c>
      <c r="N20" s="124">
        <f t="shared" si="1"/>
        <v>991</v>
      </c>
      <c r="O20" s="124">
        <f t="shared" si="1"/>
        <v>5094</v>
      </c>
      <c r="P20" s="124">
        <f t="shared" si="1"/>
        <v>60047</v>
      </c>
      <c r="Q20" s="124">
        <f t="shared" si="1"/>
        <v>24300</v>
      </c>
      <c r="R20" s="124">
        <f t="shared" si="1"/>
        <v>233245</v>
      </c>
      <c r="S20" s="124">
        <f t="shared" si="1"/>
        <v>170820</v>
      </c>
      <c r="T20" s="124">
        <f t="shared" si="1"/>
        <v>123021</v>
      </c>
      <c r="U20" s="124">
        <f t="shared" si="1"/>
        <v>668</v>
      </c>
      <c r="V20" s="124">
        <f t="shared" si="1"/>
        <v>6902</v>
      </c>
      <c r="W20" s="124">
        <f t="shared" si="1"/>
        <v>2051</v>
      </c>
      <c r="X20" s="124">
        <f t="shared" si="1"/>
        <v>581</v>
      </c>
      <c r="Y20" s="124">
        <f t="shared" si="1"/>
        <v>47076</v>
      </c>
      <c r="Z20" s="124">
        <f t="shared" si="1"/>
        <v>263039</v>
      </c>
      <c r="AA20" s="124">
        <f t="shared" si="1"/>
        <v>77058</v>
      </c>
      <c r="AB20" s="124">
        <f t="shared" si="1"/>
        <v>316558</v>
      </c>
      <c r="AC20" s="124">
        <f t="shared" si="1"/>
        <v>21752</v>
      </c>
      <c r="AD20" s="124">
        <f t="shared" si="1"/>
        <v>9521</v>
      </c>
      <c r="AE20" s="124">
        <f t="shared" si="1"/>
        <v>7025</v>
      </c>
      <c r="AF20" s="124">
        <f t="shared" si="1"/>
        <v>777</v>
      </c>
      <c r="AG20" s="124">
        <f t="shared" si="1"/>
        <v>247</v>
      </c>
      <c r="AH20" s="124">
        <f t="shared" si="1"/>
        <v>5435</v>
      </c>
      <c r="AI20" s="124">
        <f t="shared" si="1"/>
        <v>0</v>
      </c>
      <c r="AJ20" s="124">
        <f t="shared" si="1"/>
        <v>5965</v>
      </c>
      <c r="AK20" s="124">
        <f t="shared" si="1"/>
        <v>9946</v>
      </c>
      <c r="AL20" s="124">
        <f t="shared" si="1"/>
        <v>673</v>
      </c>
      <c r="AM20" s="124">
        <f t="shared" si="1"/>
        <v>3870</v>
      </c>
      <c r="AN20" s="124">
        <f t="shared" si="1"/>
        <v>5697</v>
      </c>
      <c r="AO20" s="124">
        <f t="shared" si="1"/>
        <v>39421</v>
      </c>
      <c r="AP20" s="124">
        <f t="shared" si="1"/>
        <v>100874</v>
      </c>
      <c r="AQ20" s="124">
        <f t="shared" si="1"/>
        <v>109253</v>
      </c>
      <c r="AR20" s="124">
        <f t="shared" si="1"/>
        <v>3456</v>
      </c>
      <c r="AS20" s="124">
        <f t="shared" si="1"/>
        <v>229</v>
      </c>
      <c r="AT20" s="124">
        <f t="shared" si="1"/>
        <v>36442</v>
      </c>
      <c r="AV20" s="123">
        <f>SUM(AV16:AV19)</f>
        <v>1933406</v>
      </c>
    </row>
    <row r="21" spans="1:48" ht="11.25" customHeight="1">
      <c r="A21" s="125"/>
      <c r="B21" s="125"/>
      <c r="C21" s="124"/>
      <c r="D21" s="124"/>
      <c r="E21" s="124"/>
      <c r="F21" s="122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V21" s="123"/>
    </row>
    <row r="22" spans="1:48" ht="11.25" customHeight="1" outlineLevel="1">
      <c r="A22" s="125" t="s">
        <v>54</v>
      </c>
      <c r="B22" s="125"/>
      <c r="C22" s="124"/>
      <c r="D22" s="124"/>
      <c r="E22" s="124"/>
      <c r="F22" s="122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V22" s="123"/>
    </row>
    <row r="23" spans="1:48" ht="11.25" customHeight="1" outlineLevel="1">
      <c r="A23" s="126" t="s">
        <v>55</v>
      </c>
      <c r="B23" s="126"/>
      <c r="C23" s="124">
        <v>0</v>
      </c>
      <c r="D23" s="124">
        <v>0</v>
      </c>
      <c r="E23" s="124">
        <v>0</v>
      </c>
      <c r="F23" s="122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2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V23" s="123">
        <f>SUM(C23:AT23)</f>
        <v>0</v>
      </c>
    </row>
    <row r="24" spans="1:48" ht="11.25" customHeight="1" outlineLevel="1">
      <c r="A24" s="126" t="s">
        <v>56</v>
      </c>
      <c r="B24" s="126"/>
      <c r="C24" s="122">
        <v>408570</v>
      </c>
      <c r="D24" s="122">
        <v>65246</v>
      </c>
      <c r="E24" s="122">
        <v>0</v>
      </c>
      <c r="F24" s="122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2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V24" s="123">
        <f aca="true" t="shared" si="2" ref="AV24:AV31">SUM(C24:AT24)</f>
        <v>473816</v>
      </c>
    </row>
    <row r="25" spans="1:48" ht="11.25" customHeight="1" outlineLevel="1">
      <c r="A25" s="126" t="s">
        <v>57</v>
      </c>
      <c r="B25" s="126"/>
      <c r="C25" s="124">
        <v>0</v>
      </c>
      <c r="D25" s="124">
        <v>0</v>
      </c>
      <c r="E25" s="124">
        <v>0</v>
      </c>
      <c r="F25" s="122">
        <v>636034</v>
      </c>
      <c r="G25" s="122">
        <v>2892</v>
      </c>
      <c r="H25" s="122">
        <v>3301</v>
      </c>
      <c r="I25" s="124">
        <v>0</v>
      </c>
      <c r="J25" s="122">
        <v>2018</v>
      </c>
      <c r="K25" s="122">
        <v>2018</v>
      </c>
      <c r="L25" s="122">
        <v>721</v>
      </c>
      <c r="M25" s="122">
        <v>577</v>
      </c>
      <c r="N25" s="124">
        <v>0</v>
      </c>
      <c r="O25" s="122">
        <v>9081</v>
      </c>
      <c r="P25" s="124">
        <v>0</v>
      </c>
      <c r="Q25" s="122">
        <v>84707</v>
      </c>
      <c r="R25" s="122">
        <v>644433</v>
      </c>
      <c r="S25" s="122">
        <v>21864</v>
      </c>
      <c r="T25" s="122">
        <v>0</v>
      </c>
      <c r="U25" s="124">
        <v>0</v>
      </c>
      <c r="V25" s="124">
        <v>0</v>
      </c>
      <c r="W25" s="122">
        <v>16077</v>
      </c>
      <c r="X25" s="122">
        <v>11974</v>
      </c>
      <c r="Y25" s="122">
        <v>152552</v>
      </c>
      <c r="Z25" s="122">
        <v>395765</v>
      </c>
      <c r="AA25" s="122">
        <v>191</v>
      </c>
      <c r="AB25" s="124">
        <v>0</v>
      </c>
      <c r="AC25" s="122">
        <v>13080</v>
      </c>
      <c r="AD25" s="122">
        <v>93158</v>
      </c>
      <c r="AE25" s="124">
        <v>0</v>
      </c>
      <c r="AF25" s="122">
        <v>0</v>
      </c>
      <c r="AG25" s="122">
        <v>163</v>
      </c>
      <c r="AH25" s="122">
        <v>90018</v>
      </c>
      <c r="AI25" s="122">
        <v>1808</v>
      </c>
      <c r="AJ25" s="124">
        <v>0</v>
      </c>
      <c r="AK25" s="122">
        <v>2211</v>
      </c>
      <c r="AL25" s="122">
        <v>201</v>
      </c>
      <c r="AM25" s="124">
        <v>0</v>
      </c>
      <c r="AN25" s="122">
        <v>2065</v>
      </c>
      <c r="AO25" s="122">
        <v>1017</v>
      </c>
      <c r="AP25" s="122">
        <v>66</v>
      </c>
      <c r="AQ25" s="124">
        <v>0</v>
      </c>
      <c r="AR25" s="124">
        <v>0</v>
      </c>
      <c r="AS25" s="124">
        <v>0</v>
      </c>
      <c r="AT25" s="122">
        <v>917</v>
      </c>
      <c r="AV25" s="123">
        <f t="shared" si="2"/>
        <v>2188909</v>
      </c>
    </row>
    <row r="26" spans="1:48" ht="11.25" customHeight="1" outlineLevel="1">
      <c r="A26" s="126" t="s">
        <v>58</v>
      </c>
      <c r="B26" s="126"/>
      <c r="C26" s="124">
        <v>0</v>
      </c>
      <c r="D26" s="124">
        <v>0</v>
      </c>
      <c r="E26" s="124">
        <v>0</v>
      </c>
      <c r="F26" s="122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2">
        <v>0</v>
      </c>
      <c r="AG26" s="122">
        <v>13534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V26" s="123">
        <f t="shared" si="2"/>
        <v>13534</v>
      </c>
    </row>
    <row r="27" spans="1:48" ht="11.25" customHeight="1" outlineLevel="1">
      <c r="A27" s="126" t="s">
        <v>59</v>
      </c>
      <c r="B27" s="126"/>
      <c r="C27" s="122">
        <v>170680</v>
      </c>
      <c r="D27" s="122">
        <v>70505</v>
      </c>
      <c r="E27" s="122">
        <v>43397</v>
      </c>
      <c r="F27" s="122">
        <v>273940</v>
      </c>
      <c r="G27" s="122">
        <v>97123</v>
      </c>
      <c r="H27" s="122">
        <v>132650</v>
      </c>
      <c r="I27" s="122">
        <v>2437</v>
      </c>
      <c r="J27" s="122">
        <v>7931</v>
      </c>
      <c r="K27" s="122">
        <v>9548</v>
      </c>
      <c r="L27" s="122">
        <v>6612</v>
      </c>
      <c r="M27" s="122">
        <v>7586</v>
      </c>
      <c r="N27" s="122">
        <v>941</v>
      </c>
      <c r="O27" s="122">
        <v>43853</v>
      </c>
      <c r="P27" s="122">
        <v>234186</v>
      </c>
      <c r="Q27" s="122">
        <v>1737718</v>
      </c>
      <c r="R27" s="122">
        <v>4531681</v>
      </c>
      <c r="S27" s="122">
        <v>341111</v>
      </c>
      <c r="T27" s="122">
        <v>149061</v>
      </c>
      <c r="U27" s="122">
        <v>793</v>
      </c>
      <c r="V27" s="122">
        <v>84313</v>
      </c>
      <c r="W27" s="122">
        <v>13904</v>
      </c>
      <c r="X27" s="122">
        <v>8363</v>
      </c>
      <c r="Y27" s="122">
        <v>143515</v>
      </c>
      <c r="Z27" s="122">
        <v>5629031</v>
      </c>
      <c r="AA27" s="122">
        <v>284963</v>
      </c>
      <c r="AB27" s="122">
        <v>364613</v>
      </c>
      <c r="AC27" s="122">
        <v>58313</v>
      </c>
      <c r="AD27" s="122">
        <v>203353</v>
      </c>
      <c r="AE27" s="122">
        <v>31228</v>
      </c>
      <c r="AF27" s="122">
        <v>13603</v>
      </c>
      <c r="AG27" s="124">
        <v>0</v>
      </c>
      <c r="AH27" s="122">
        <v>7370</v>
      </c>
      <c r="AI27" s="122">
        <v>16</v>
      </c>
      <c r="AJ27" s="122">
        <v>52645</v>
      </c>
      <c r="AK27" s="122">
        <v>84415</v>
      </c>
      <c r="AL27" s="122">
        <v>8339</v>
      </c>
      <c r="AM27" s="122">
        <v>5426</v>
      </c>
      <c r="AN27" s="122">
        <v>1278882</v>
      </c>
      <c r="AO27" s="122">
        <v>1052847</v>
      </c>
      <c r="AP27" s="122">
        <v>319888</v>
      </c>
      <c r="AQ27" s="122">
        <v>132847</v>
      </c>
      <c r="AR27" s="122">
        <v>3811</v>
      </c>
      <c r="AS27" s="122">
        <v>16478</v>
      </c>
      <c r="AT27" s="122">
        <v>301516</v>
      </c>
      <c r="AV27" s="123">
        <f t="shared" si="2"/>
        <v>17961432</v>
      </c>
    </row>
    <row r="28" spans="1:48" ht="11.25" customHeight="1" outlineLevel="1">
      <c r="A28" s="126" t="s">
        <v>60</v>
      </c>
      <c r="B28" s="126"/>
      <c r="C28" s="124">
        <v>0</v>
      </c>
      <c r="D28" s="124">
        <v>0</v>
      </c>
      <c r="E28" s="124">
        <v>0</v>
      </c>
      <c r="F28" s="122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2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V28" s="123">
        <f t="shared" si="2"/>
        <v>0</v>
      </c>
    </row>
    <row r="29" spans="1:48" ht="11.25" customHeight="1" outlineLevel="1">
      <c r="A29" s="126" t="s">
        <v>61</v>
      </c>
      <c r="B29" s="126"/>
      <c r="C29" s="124">
        <v>0</v>
      </c>
      <c r="D29" s="124">
        <v>0</v>
      </c>
      <c r="E29" s="124">
        <v>0</v>
      </c>
      <c r="F29" s="122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2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V29" s="123">
        <f t="shared" si="2"/>
        <v>0</v>
      </c>
    </row>
    <row r="30" spans="1:48" ht="11.25" customHeight="1" outlineLevel="1">
      <c r="A30" s="126" t="s">
        <v>62</v>
      </c>
      <c r="B30" s="126"/>
      <c r="C30" s="124">
        <v>0</v>
      </c>
      <c r="D30" s="124">
        <v>0</v>
      </c>
      <c r="E30" s="124">
        <v>0</v>
      </c>
      <c r="F30" s="122">
        <v>-158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2">
        <v>215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2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V30" s="123">
        <f t="shared" si="2"/>
        <v>57</v>
      </c>
    </row>
    <row r="31" spans="1:48" ht="11.25" customHeight="1" outlineLevel="1">
      <c r="A31" s="126" t="s">
        <v>63</v>
      </c>
      <c r="B31" s="126"/>
      <c r="C31" s="124">
        <v>0</v>
      </c>
      <c r="D31" s="124">
        <v>0</v>
      </c>
      <c r="E31" s="124">
        <v>0</v>
      </c>
      <c r="F31" s="122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2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V31" s="123">
        <f t="shared" si="2"/>
        <v>0</v>
      </c>
    </row>
    <row r="32" spans="1:48" ht="11.25" customHeight="1">
      <c r="A32" s="125" t="s">
        <v>64</v>
      </c>
      <c r="B32" s="125"/>
      <c r="C32" s="124">
        <f aca="true" t="shared" si="3" ref="C32:AT32">SUM(C23:C31)</f>
        <v>579250</v>
      </c>
      <c r="D32" s="124">
        <f t="shared" si="3"/>
        <v>135751</v>
      </c>
      <c r="E32" s="124">
        <f t="shared" si="3"/>
        <v>43397</v>
      </c>
      <c r="F32" s="124">
        <f t="shared" si="3"/>
        <v>909816</v>
      </c>
      <c r="G32" s="124">
        <f t="shared" si="3"/>
        <v>100015</v>
      </c>
      <c r="H32" s="124">
        <f t="shared" si="3"/>
        <v>135951</v>
      </c>
      <c r="I32" s="124">
        <f t="shared" si="3"/>
        <v>2437</v>
      </c>
      <c r="J32" s="124">
        <f t="shared" si="3"/>
        <v>9949</v>
      </c>
      <c r="K32" s="124">
        <f t="shared" si="3"/>
        <v>11566</v>
      </c>
      <c r="L32" s="124">
        <f t="shared" si="3"/>
        <v>7333</v>
      </c>
      <c r="M32" s="124">
        <f t="shared" si="3"/>
        <v>8163</v>
      </c>
      <c r="N32" s="124">
        <f t="shared" si="3"/>
        <v>941</v>
      </c>
      <c r="O32" s="124">
        <f t="shared" si="3"/>
        <v>52934</v>
      </c>
      <c r="P32" s="124">
        <f t="shared" si="3"/>
        <v>234186</v>
      </c>
      <c r="Q32" s="124">
        <f t="shared" si="3"/>
        <v>1822425</v>
      </c>
      <c r="R32" s="124">
        <f t="shared" si="3"/>
        <v>5176114</v>
      </c>
      <c r="S32" s="124">
        <f t="shared" si="3"/>
        <v>362975</v>
      </c>
      <c r="T32" s="124">
        <f t="shared" si="3"/>
        <v>149061</v>
      </c>
      <c r="U32" s="124">
        <f t="shared" si="3"/>
        <v>793</v>
      </c>
      <c r="V32" s="124">
        <f t="shared" si="3"/>
        <v>84313</v>
      </c>
      <c r="W32" s="124">
        <f t="shared" si="3"/>
        <v>29981</v>
      </c>
      <c r="X32" s="124">
        <f t="shared" si="3"/>
        <v>20337</v>
      </c>
      <c r="Y32" s="124">
        <f t="shared" si="3"/>
        <v>296282</v>
      </c>
      <c r="Z32" s="124">
        <f t="shared" si="3"/>
        <v>6024796</v>
      </c>
      <c r="AA32" s="124">
        <f t="shared" si="3"/>
        <v>285154</v>
      </c>
      <c r="AB32" s="124">
        <f t="shared" si="3"/>
        <v>364613</v>
      </c>
      <c r="AC32" s="124">
        <f t="shared" si="3"/>
        <v>71393</v>
      </c>
      <c r="AD32" s="124">
        <f t="shared" si="3"/>
        <v>296511</v>
      </c>
      <c r="AE32" s="124">
        <f t="shared" si="3"/>
        <v>31228</v>
      </c>
      <c r="AF32" s="124">
        <f t="shared" si="3"/>
        <v>13603</v>
      </c>
      <c r="AG32" s="124">
        <f t="shared" si="3"/>
        <v>13697</v>
      </c>
      <c r="AH32" s="124">
        <f t="shared" si="3"/>
        <v>97388</v>
      </c>
      <c r="AI32" s="124">
        <f t="shared" si="3"/>
        <v>1824</v>
      </c>
      <c r="AJ32" s="124">
        <f t="shared" si="3"/>
        <v>52645</v>
      </c>
      <c r="AK32" s="124">
        <f t="shared" si="3"/>
        <v>86626</v>
      </c>
      <c r="AL32" s="124">
        <f t="shared" si="3"/>
        <v>8540</v>
      </c>
      <c r="AM32" s="124">
        <f t="shared" si="3"/>
        <v>5426</v>
      </c>
      <c r="AN32" s="124">
        <f t="shared" si="3"/>
        <v>1280947</v>
      </c>
      <c r="AO32" s="124">
        <f t="shared" si="3"/>
        <v>1053864</v>
      </c>
      <c r="AP32" s="124">
        <f t="shared" si="3"/>
        <v>319954</v>
      </c>
      <c r="AQ32" s="124">
        <f t="shared" si="3"/>
        <v>132847</v>
      </c>
      <c r="AR32" s="124">
        <f t="shared" si="3"/>
        <v>3811</v>
      </c>
      <c r="AS32" s="124">
        <f t="shared" si="3"/>
        <v>16478</v>
      </c>
      <c r="AT32" s="124">
        <f t="shared" si="3"/>
        <v>302433</v>
      </c>
      <c r="AV32" s="123">
        <f>SUM(AV23:AV31)</f>
        <v>20637748</v>
      </c>
    </row>
    <row r="33" spans="1:48" ht="11.25" customHeight="1">
      <c r="A33" s="125"/>
      <c r="B33" s="125"/>
      <c r="C33" s="124"/>
      <c r="D33" s="124"/>
      <c r="E33" s="124"/>
      <c r="F33" s="122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2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V33" s="123"/>
    </row>
    <row r="34" spans="1:48" ht="11.25" customHeight="1" outlineLevel="1">
      <c r="A34" s="125" t="s">
        <v>65</v>
      </c>
      <c r="B34" s="125"/>
      <c r="C34" s="124"/>
      <c r="D34" s="124"/>
      <c r="E34" s="124"/>
      <c r="F34" s="122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2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V34" s="123"/>
    </row>
    <row r="35" spans="1:48" ht="11.25" customHeight="1" outlineLevel="1">
      <c r="A35" s="126" t="s">
        <v>66</v>
      </c>
      <c r="B35" s="126"/>
      <c r="C35" s="122">
        <v>1139</v>
      </c>
      <c r="D35" s="122">
        <v>355</v>
      </c>
      <c r="E35" s="122">
        <v>62</v>
      </c>
      <c r="F35" s="122">
        <v>1587</v>
      </c>
      <c r="G35" s="122">
        <v>1836</v>
      </c>
      <c r="H35" s="122">
        <v>3194</v>
      </c>
      <c r="I35" s="122">
        <v>0</v>
      </c>
      <c r="J35" s="122">
        <v>59</v>
      </c>
      <c r="K35" s="122">
        <v>82</v>
      </c>
      <c r="L35" s="122">
        <v>48</v>
      </c>
      <c r="M35" s="122">
        <v>65</v>
      </c>
      <c r="N35" s="122">
        <v>6</v>
      </c>
      <c r="O35" s="122">
        <v>288</v>
      </c>
      <c r="P35" s="122">
        <v>1419</v>
      </c>
      <c r="Q35" s="122">
        <v>8251</v>
      </c>
      <c r="R35" s="122">
        <v>25437</v>
      </c>
      <c r="S35" s="122">
        <v>2458</v>
      </c>
      <c r="T35" s="122">
        <v>1029</v>
      </c>
      <c r="U35" s="122">
        <v>10</v>
      </c>
      <c r="V35" s="122">
        <v>1441</v>
      </c>
      <c r="W35" s="122">
        <v>412</v>
      </c>
      <c r="X35" s="122">
        <v>283</v>
      </c>
      <c r="Y35" s="122">
        <v>7718</v>
      </c>
      <c r="Z35" s="122">
        <v>54351</v>
      </c>
      <c r="AA35" s="122">
        <v>3876</v>
      </c>
      <c r="AB35" s="122">
        <v>6486</v>
      </c>
      <c r="AC35" s="122">
        <v>640</v>
      </c>
      <c r="AD35" s="122">
        <v>2503</v>
      </c>
      <c r="AE35" s="124">
        <v>0</v>
      </c>
      <c r="AF35" s="122">
        <v>0</v>
      </c>
      <c r="AG35" s="124">
        <v>0</v>
      </c>
      <c r="AH35" s="124">
        <v>0</v>
      </c>
      <c r="AI35" s="124">
        <v>0</v>
      </c>
      <c r="AJ35" s="122">
        <v>128</v>
      </c>
      <c r="AK35" s="122">
        <v>1515</v>
      </c>
      <c r="AL35" s="122">
        <v>225</v>
      </c>
      <c r="AM35" s="124">
        <v>0</v>
      </c>
      <c r="AN35" s="122">
        <v>5203</v>
      </c>
      <c r="AO35" s="122">
        <v>9044</v>
      </c>
      <c r="AP35" s="122">
        <v>3772</v>
      </c>
      <c r="AQ35" s="122">
        <v>78</v>
      </c>
      <c r="AR35" s="122">
        <v>135</v>
      </c>
      <c r="AS35" s="122">
        <v>401</v>
      </c>
      <c r="AT35" s="122">
        <v>3048</v>
      </c>
      <c r="AV35" s="123">
        <f>SUM(C35:AT35)</f>
        <v>148584</v>
      </c>
    </row>
    <row r="36" spans="1:48" ht="11.25" customHeight="1" outlineLevel="1">
      <c r="A36" s="126" t="s">
        <v>67</v>
      </c>
      <c r="B36" s="126"/>
      <c r="C36" s="124">
        <v>0</v>
      </c>
      <c r="D36" s="124">
        <v>0</v>
      </c>
      <c r="E36" s="124">
        <v>0</v>
      </c>
      <c r="F36" s="122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2">
        <v>184</v>
      </c>
      <c r="R36" s="122">
        <v>185</v>
      </c>
      <c r="S36" s="122">
        <v>185</v>
      </c>
      <c r="T36" s="122">
        <v>132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2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2">
        <v>8485</v>
      </c>
      <c r="AO36" s="122">
        <v>3089</v>
      </c>
      <c r="AP36" s="122">
        <v>870</v>
      </c>
      <c r="AQ36" s="124">
        <v>0</v>
      </c>
      <c r="AR36" s="124">
        <v>0</v>
      </c>
      <c r="AS36" s="124">
        <v>0</v>
      </c>
      <c r="AT36" s="122">
        <v>1442</v>
      </c>
      <c r="AV36" s="123">
        <f>SUM(C36:AT36)</f>
        <v>14572</v>
      </c>
    </row>
    <row r="37" spans="1:48" ht="11.25" customHeight="1" outlineLevel="1">
      <c r="A37" s="126" t="s">
        <v>68</v>
      </c>
      <c r="B37" s="126"/>
      <c r="C37" s="124">
        <v>0</v>
      </c>
      <c r="D37" s="124">
        <v>0</v>
      </c>
      <c r="E37" s="124">
        <v>0</v>
      </c>
      <c r="F37" s="122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2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V37" s="123">
        <f>SUM(C37:AT37)</f>
        <v>0</v>
      </c>
    </row>
    <row r="38" spans="1:48" ht="11.25" customHeight="1" outlineLevel="1">
      <c r="A38" s="126" t="s">
        <v>69</v>
      </c>
      <c r="B38" s="126"/>
      <c r="C38" s="124">
        <v>0</v>
      </c>
      <c r="D38" s="124">
        <v>0</v>
      </c>
      <c r="E38" s="124">
        <v>0</v>
      </c>
      <c r="F38" s="122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2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V38" s="123">
        <f>SUM(C38:AT38)</f>
        <v>0</v>
      </c>
    </row>
    <row r="39" spans="1:48" ht="11.25" customHeight="1" outlineLevel="1">
      <c r="A39" s="126" t="s">
        <v>70</v>
      </c>
      <c r="B39" s="126"/>
      <c r="C39" s="124">
        <v>0</v>
      </c>
      <c r="D39" s="122">
        <v>6</v>
      </c>
      <c r="E39" s="124">
        <v>0</v>
      </c>
      <c r="F39" s="122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2">
        <v>61573</v>
      </c>
      <c r="AA39" s="122">
        <v>4127</v>
      </c>
      <c r="AB39" s="122">
        <v>6486</v>
      </c>
      <c r="AC39" s="124">
        <v>0</v>
      </c>
      <c r="AD39" s="124">
        <v>0</v>
      </c>
      <c r="AE39" s="124">
        <v>0</v>
      </c>
      <c r="AF39" s="122">
        <v>776</v>
      </c>
      <c r="AG39" s="122">
        <v>1</v>
      </c>
      <c r="AH39" s="122">
        <v>923</v>
      </c>
      <c r="AI39" s="122">
        <v>26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0</v>
      </c>
      <c r="AS39" s="124">
        <v>0</v>
      </c>
      <c r="AT39" s="122">
        <v>1134</v>
      </c>
      <c r="AV39" s="123">
        <f>SUM(C39:AT39)</f>
        <v>75052</v>
      </c>
    </row>
    <row r="40" spans="1:48" ht="11.25" customHeight="1">
      <c r="A40" s="125" t="s">
        <v>71</v>
      </c>
      <c r="B40" s="125"/>
      <c r="C40" s="124">
        <f aca="true" t="shared" si="4" ref="C40:AT40">SUM(C35:C39)</f>
        <v>1139</v>
      </c>
      <c r="D40" s="124">
        <f t="shared" si="4"/>
        <v>361</v>
      </c>
      <c r="E40" s="124">
        <f t="shared" si="4"/>
        <v>62</v>
      </c>
      <c r="F40" s="124">
        <f t="shared" si="4"/>
        <v>1587</v>
      </c>
      <c r="G40" s="124">
        <f t="shared" si="4"/>
        <v>1836</v>
      </c>
      <c r="H40" s="124">
        <f t="shared" si="4"/>
        <v>3194</v>
      </c>
      <c r="I40" s="124">
        <f t="shared" si="4"/>
        <v>0</v>
      </c>
      <c r="J40" s="124">
        <f t="shared" si="4"/>
        <v>59</v>
      </c>
      <c r="K40" s="124">
        <f t="shared" si="4"/>
        <v>82</v>
      </c>
      <c r="L40" s="124">
        <f t="shared" si="4"/>
        <v>48</v>
      </c>
      <c r="M40" s="124">
        <f t="shared" si="4"/>
        <v>65</v>
      </c>
      <c r="N40" s="124">
        <f t="shared" si="4"/>
        <v>6</v>
      </c>
      <c r="O40" s="124">
        <f t="shared" si="4"/>
        <v>288</v>
      </c>
      <c r="P40" s="124">
        <f t="shared" si="4"/>
        <v>1419</v>
      </c>
      <c r="Q40" s="124">
        <f t="shared" si="4"/>
        <v>8435</v>
      </c>
      <c r="R40" s="124">
        <f t="shared" si="4"/>
        <v>25622</v>
      </c>
      <c r="S40" s="124">
        <f t="shared" si="4"/>
        <v>2643</v>
      </c>
      <c r="T40" s="124">
        <f t="shared" si="4"/>
        <v>1161</v>
      </c>
      <c r="U40" s="124">
        <f t="shared" si="4"/>
        <v>10</v>
      </c>
      <c r="V40" s="124">
        <f t="shared" si="4"/>
        <v>1441</v>
      </c>
      <c r="W40" s="124">
        <f t="shared" si="4"/>
        <v>412</v>
      </c>
      <c r="X40" s="124">
        <f t="shared" si="4"/>
        <v>283</v>
      </c>
      <c r="Y40" s="124">
        <f t="shared" si="4"/>
        <v>7718</v>
      </c>
      <c r="Z40" s="124">
        <f t="shared" si="4"/>
        <v>115924</v>
      </c>
      <c r="AA40" s="124">
        <f t="shared" si="4"/>
        <v>8003</v>
      </c>
      <c r="AB40" s="124">
        <f t="shared" si="4"/>
        <v>12972</v>
      </c>
      <c r="AC40" s="124">
        <f t="shared" si="4"/>
        <v>640</v>
      </c>
      <c r="AD40" s="124">
        <f t="shared" si="4"/>
        <v>2503</v>
      </c>
      <c r="AE40" s="124">
        <f t="shared" si="4"/>
        <v>0</v>
      </c>
      <c r="AF40" s="124">
        <f t="shared" si="4"/>
        <v>776</v>
      </c>
      <c r="AG40" s="124">
        <f t="shared" si="4"/>
        <v>1</v>
      </c>
      <c r="AH40" s="124">
        <f t="shared" si="4"/>
        <v>923</v>
      </c>
      <c r="AI40" s="124">
        <f t="shared" si="4"/>
        <v>26</v>
      </c>
      <c r="AJ40" s="124">
        <f t="shared" si="4"/>
        <v>128</v>
      </c>
      <c r="AK40" s="124">
        <f t="shared" si="4"/>
        <v>1515</v>
      </c>
      <c r="AL40" s="124">
        <f t="shared" si="4"/>
        <v>225</v>
      </c>
      <c r="AM40" s="124">
        <f t="shared" si="4"/>
        <v>0</v>
      </c>
      <c r="AN40" s="124">
        <f t="shared" si="4"/>
        <v>13688</v>
      </c>
      <c r="AO40" s="124">
        <f t="shared" si="4"/>
        <v>12133</v>
      </c>
      <c r="AP40" s="124">
        <f t="shared" si="4"/>
        <v>4642</v>
      </c>
      <c r="AQ40" s="124">
        <f t="shared" si="4"/>
        <v>78</v>
      </c>
      <c r="AR40" s="124">
        <f t="shared" si="4"/>
        <v>135</v>
      </c>
      <c r="AS40" s="124">
        <f t="shared" si="4"/>
        <v>401</v>
      </c>
      <c r="AT40" s="124">
        <f t="shared" si="4"/>
        <v>5624</v>
      </c>
      <c r="AV40" s="123">
        <f>SUM(AV35:AV39)</f>
        <v>238208</v>
      </c>
    </row>
    <row r="41" spans="1:48" ht="11.25" customHeight="1">
      <c r="A41" s="125"/>
      <c r="B41" s="125"/>
      <c r="C41" s="124"/>
      <c r="D41" s="122"/>
      <c r="E41" s="124"/>
      <c r="F41" s="122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2"/>
      <c r="AA41" s="122"/>
      <c r="AB41" s="122"/>
      <c r="AC41" s="124"/>
      <c r="AD41" s="124"/>
      <c r="AE41" s="124"/>
      <c r="AF41" s="122"/>
      <c r="AG41" s="122"/>
      <c r="AH41" s="122"/>
      <c r="AI41" s="122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2"/>
      <c r="AV41" s="123"/>
    </row>
    <row r="42" spans="1:48" ht="11.25" customHeight="1" outlineLevel="1">
      <c r="A42" s="125" t="s">
        <v>72</v>
      </c>
      <c r="B42" s="125"/>
      <c r="C42" s="124"/>
      <c r="D42" s="122"/>
      <c r="E42" s="124"/>
      <c r="F42" s="122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2"/>
      <c r="AA42" s="122"/>
      <c r="AB42" s="122"/>
      <c r="AC42" s="124"/>
      <c r="AD42" s="124"/>
      <c r="AE42" s="124"/>
      <c r="AF42" s="122"/>
      <c r="AG42" s="122"/>
      <c r="AH42" s="122"/>
      <c r="AI42" s="122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2"/>
      <c r="AV42" s="123"/>
    </row>
    <row r="43" spans="1:48" ht="11.25" customHeight="1" outlineLevel="1">
      <c r="A43" s="126" t="s">
        <v>66</v>
      </c>
      <c r="B43" s="126"/>
      <c r="C43" s="122">
        <v>3142</v>
      </c>
      <c r="D43" s="122">
        <v>981</v>
      </c>
      <c r="E43" s="122">
        <v>358</v>
      </c>
      <c r="F43" s="122">
        <v>1510</v>
      </c>
      <c r="G43" s="122">
        <v>3411</v>
      </c>
      <c r="H43" s="122">
        <v>5930</v>
      </c>
      <c r="I43" s="122">
        <v>0</v>
      </c>
      <c r="J43" s="122">
        <v>59</v>
      </c>
      <c r="K43" s="122">
        <v>82</v>
      </c>
      <c r="L43" s="122">
        <v>48</v>
      </c>
      <c r="M43" s="122">
        <v>65</v>
      </c>
      <c r="N43" s="122">
        <v>6</v>
      </c>
      <c r="O43" s="122">
        <v>288</v>
      </c>
      <c r="P43" s="122">
        <v>1414</v>
      </c>
      <c r="Q43" s="122">
        <v>10691</v>
      </c>
      <c r="R43" s="122">
        <v>33125</v>
      </c>
      <c r="S43" s="122">
        <v>3281</v>
      </c>
      <c r="T43" s="122">
        <v>1583</v>
      </c>
      <c r="U43" s="122">
        <v>13</v>
      </c>
      <c r="V43" s="122">
        <v>1769</v>
      </c>
      <c r="W43" s="122">
        <v>505</v>
      </c>
      <c r="X43" s="122">
        <v>347</v>
      </c>
      <c r="Y43" s="122">
        <v>17745</v>
      </c>
      <c r="Z43" s="122">
        <v>49153</v>
      </c>
      <c r="AA43" s="122">
        <v>3490</v>
      </c>
      <c r="AB43" s="122">
        <v>5861</v>
      </c>
      <c r="AC43" s="122">
        <v>1223</v>
      </c>
      <c r="AD43" s="122">
        <v>4782</v>
      </c>
      <c r="AE43" s="122">
        <v>536</v>
      </c>
      <c r="AF43" s="122">
        <v>120</v>
      </c>
      <c r="AG43" s="124">
        <v>0</v>
      </c>
      <c r="AH43" s="122">
        <v>977</v>
      </c>
      <c r="AI43" s="122">
        <v>26</v>
      </c>
      <c r="AJ43" s="122">
        <v>479</v>
      </c>
      <c r="AK43" s="122">
        <v>100</v>
      </c>
      <c r="AL43" s="122">
        <v>100</v>
      </c>
      <c r="AM43" s="122">
        <v>100</v>
      </c>
      <c r="AN43" s="122">
        <v>11145</v>
      </c>
      <c r="AO43" s="122">
        <v>18979</v>
      </c>
      <c r="AP43" s="122">
        <v>7734</v>
      </c>
      <c r="AQ43" s="122">
        <v>0</v>
      </c>
      <c r="AR43" s="122">
        <v>45</v>
      </c>
      <c r="AS43" s="122">
        <v>134</v>
      </c>
      <c r="AT43" s="124">
        <v>0</v>
      </c>
      <c r="AV43" s="123">
        <f>SUM(C43:AT43)</f>
        <v>191337</v>
      </c>
    </row>
    <row r="44" spans="1:48" ht="11.25" customHeight="1" outlineLevel="1">
      <c r="A44" s="126" t="s">
        <v>73</v>
      </c>
      <c r="B44" s="126"/>
      <c r="C44" s="124">
        <v>0</v>
      </c>
      <c r="D44" s="124">
        <v>0</v>
      </c>
      <c r="E44" s="124">
        <v>0</v>
      </c>
      <c r="F44" s="122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v>0</v>
      </c>
      <c r="AD44" s="124">
        <v>0</v>
      </c>
      <c r="AE44" s="124">
        <v>0</v>
      </c>
      <c r="AF44" s="122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0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V44" s="123">
        <f>SUM(C44:AT44)</f>
        <v>0</v>
      </c>
    </row>
    <row r="45" spans="1:48" ht="11.25" customHeight="1">
      <c r="A45" s="125" t="s">
        <v>72</v>
      </c>
      <c r="B45" s="125"/>
      <c r="C45" s="124">
        <f aca="true" t="shared" si="5" ref="C45:AT45">SUM(C43:C44)</f>
        <v>3142</v>
      </c>
      <c r="D45" s="124">
        <f t="shared" si="5"/>
        <v>981</v>
      </c>
      <c r="E45" s="124">
        <f t="shared" si="5"/>
        <v>358</v>
      </c>
      <c r="F45" s="124">
        <f t="shared" si="5"/>
        <v>1510</v>
      </c>
      <c r="G45" s="124">
        <f t="shared" si="5"/>
        <v>3411</v>
      </c>
      <c r="H45" s="124">
        <f t="shared" si="5"/>
        <v>5930</v>
      </c>
      <c r="I45" s="124">
        <f t="shared" si="5"/>
        <v>0</v>
      </c>
      <c r="J45" s="124">
        <f t="shared" si="5"/>
        <v>59</v>
      </c>
      <c r="K45" s="124">
        <f t="shared" si="5"/>
        <v>82</v>
      </c>
      <c r="L45" s="124">
        <f t="shared" si="5"/>
        <v>48</v>
      </c>
      <c r="M45" s="124">
        <f t="shared" si="5"/>
        <v>65</v>
      </c>
      <c r="N45" s="124">
        <f t="shared" si="5"/>
        <v>6</v>
      </c>
      <c r="O45" s="124">
        <f t="shared" si="5"/>
        <v>288</v>
      </c>
      <c r="P45" s="124">
        <f t="shared" si="5"/>
        <v>1414</v>
      </c>
      <c r="Q45" s="124">
        <f t="shared" si="5"/>
        <v>10691</v>
      </c>
      <c r="R45" s="124">
        <f t="shared" si="5"/>
        <v>33125</v>
      </c>
      <c r="S45" s="124">
        <f t="shared" si="5"/>
        <v>3281</v>
      </c>
      <c r="T45" s="124">
        <f t="shared" si="5"/>
        <v>1583</v>
      </c>
      <c r="U45" s="124">
        <f t="shared" si="5"/>
        <v>13</v>
      </c>
      <c r="V45" s="124">
        <f t="shared" si="5"/>
        <v>1769</v>
      </c>
      <c r="W45" s="124">
        <f t="shared" si="5"/>
        <v>505</v>
      </c>
      <c r="X45" s="124">
        <f t="shared" si="5"/>
        <v>347</v>
      </c>
      <c r="Y45" s="124">
        <f t="shared" si="5"/>
        <v>17745</v>
      </c>
      <c r="Z45" s="124">
        <f t="shared" si="5"/>
        <v>49153</v>
      </c>
      <c r="AA45" s="124">
        <f t="shared" si="5"/>
        <v>3490</v>
      </c>
      <c r="AB45" s="124">
        <f t="shared" si="5"/>
        <v>5861</v>
      </c>
      <c r="AC45" s="124">
        <f t="shared" si="5"/>
        <v>1223</v>
      </c>
      <c r="AD45" s="124">
        <f t="shared" si="5"/>
        <v>4782</v>
      </c>
      <c r="AE45" s="124">
        <f t="shared" si="5"/>
        <v>536</v>
      </c>
      <c r="AF45" s="124">
        <f t="shared" si="5"/>
        <v>120</v>
      </c>
      <c r="AG45" s="124">
        <f t="shared" si="5"/>
        <v>0</v>
      </c>
      <c r="AH45" s="124">
        <f t="shared" si="5"/>
        <v>977</v>
      </c>
      <c r="AI45" s="124">
        <f t="shared" si="5"/>
        <v>26</v>
      </c>
      <c r="AJ45" s="124">
        <f t="shared" si="5"/>
        <v>479</v>
      </c>
      <c r="AK45" s="124">
        <f t="shared" si="5"/>
        <v>100</v>
      </c>
      <c r="AL45" s="124">
        <f t="shared" si="5"/>
        <v>100</v>
      </c>
      <c r="AM45" s="124">
        <f t="shared" si="5"/>
        <v>100</v>
      </c>
      <c r="AN45" s="124">
        <f t="shared" si="5"/>
        <v>11145</v>
      </c>
      <c r="AO45" s="124">
        <f t="shared" si="5"/>
        <v>18979</v>
      </c>
      <c r="AP45" s="124">
        <f t="shared" si="5"/>
        <v>7734</v>
      </c>
      <c r="AQ45" s="124">
        <f t="shared" si="5"/>
        <v>0</v>
      </c>
      <c r="AR45" s="124">
        <f t="shared" si="5"/>
        <v>45</v>
      </c>
      <c r="AS45" s="124">
        <f t="shared" si="5"/>
        <v>134</v>
      </c>
      <c r="AT45" s="124">
        <f t="shared" si="5"/>
        <v>0</v>
      </c>
      <c r="AV45" s="123">
        <f>SUM(AV43:AV44)</f>
        <v>191337</v>
      </c>
    </row>
    <row r="46" spans="1:48" ht="11.25" customHeight="1">
      <c r="A46" s="126"/>
      <c r="B46" s="126"/>
      <c r="C46" s="124"/>
      <c r="D46" s="124"/>
      <c r="E46" s="124"/>
      <c r="F46" s="122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2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V46" s="123"/>
    </row>
    <row r="47" spans="1:48" ht="11.25" customHeight="1">
      <c r="A47" s="125" t="s">
        <v>74</v>
      </c>
      <c r="B47" s="125"/>
      <c r="C47" s="124">
        <v>0</v>
      </c>
      <c r="D47" s="124">
        <v>0</v>
      </c>
      <c r="E47" s="124">
        <v>0</v>
      </c>
      <c r="F47" s="122">
        <v>0</v>
      </c>
      <c r="G47" s="122">
        <v>200</v>
      </c>
      <c r="H47" s="122">
        <v>123</v>
      </c>
      <c r="I47" s="122">
        <v>18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124">
        <v>0</v>
      </c>
      <c r="AE47" s="124">
        <v>0</v>
      </c>
      <c r="AF47" s="122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V47" s="123">
        <f>SUM(C47:AT47)</f>
        <v>341</v>
      </c>
    </row>
    <row r="48" spans="1:48" ht="11.25" customHeight="1">
      <c r="A48" s="126"/>
      <c r="B48" s="126"/>
      <c r="C48" s="124"/>
      <c r="D48" s="124"/>
      <c r="E48" s="124"/>
      <c r="F48" s="122"/>
      <c r="G48" s="122"/>
      <c r="H48" s="122"/>
      <c r="I48" s="122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2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V48" s="123"/>
    </row>
    <row r="49" spans="1:48" ht="11.25" customHeight="1">
      <c r="A49" s="125" t="s">
        <v>75</v>
      </c>
      <c r="B49" s="125"/>
      <c r="C49" s="124">
        <v>0</v>
      </c>
      <c r="D49" s="124">
        <v>0</v>
      </c>
      <c r="E49" s="124">
        <v>0</v>
      </c>
      <c r="F49" s="122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2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V49" s="123">
        <f>SUM(C49:AT49)</f>
        <v>0</v>
      </c>
    </row>
    <row r="50" spans="1:48" ht="11.25" customHeight="1">
      <c r="A50" s="126"/>
      <c r="B50" s="126"/>
      <c r="C50" s="124"/>
      <c r="D50" s="124"/>
      <c r="E50" s="124"/>
      <c r="F50" s="122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2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V50" s="123"/>
    </row>
    <row r="51" spans="1:48" ht="11.25" customHeight="1">
      <c r="A51" s="125" t="s">
        <v>76</v>
      </c>
      <c r="B51" s="125"/>
      <c r="C51" s="124"/>
      <c r="D51" s="124"/>
      <c r="E51" s="124"/>
      <c r="F51" s="122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2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V51" s="123"/>
    </row>
    <row r="52" spans="1:48" ht="11.25" customHeight="1">
      <c r="A52" s="125" t="s">
        <v>77</v>
      </c>
      <c r="B52" s="125"/>
      <c r="C52" s="124">
        <f aca="true" t="shared" si="6" ref="C52:AT52">+C13-C20+C32-C40-C45+C47-C49</f>
        <v>951764</v>
      </c>
      <c r="D52" s="124">
        <f t="shared" si="6"/>
        <v>346718</v>
      </c>
      <c r="E52" s="124">
        <f t="shared" si="6"/>
        <v>93350</v>
      </c>
      <c r="F52" s="124">
        <f t="shared" si="6"/>
        <v>1454733</v>
      </c>
      <c r="G52" s="124">
        <f t="shared" si="6"/>
        <v>183225</v>
      </c>
      <c r="H52" s="124">
        <f t="shared" si="6"/>
        <v>209124</v>
      </c>
      <c r="I52" s="124">
        <f t="shared" si="6"/>
        <v>-176</v>
      </c>
      <c r="J52" s="124">
        <f t="shared" si="6"/>
        <v>22956</v>
      </c>
      <c r="K52" s="124">
        <f t="shared" si="6"/>
        <v>32775</v>
      </c>
      <c r="L52" s="124">
        <f t="shared" si="6"/>
        <v>19768</v>
      </c>
      <c r="M52" s="124">
        <f t="shared" si="6"/>
        <v>21214</v>
      </c>
      <c r="N52" s="124">
        <f t="shared" si="6"/>
        <v>968</v>
      </c>
      <c r="O52" s="124">
        <f t="shared" si="6"/>
        <v>70928</v>
      </c>
      <c r="P52" s="124">
        <f t="shared" si="6"/>
        <v>478836</v>
      </c>
      <c r="Q52" s="124">
        <f t="shared" si="6"/>
        <v>3603356</v>
      </c>
      <c r="R52" s="124">
        <f t="shared" si="6"/>
        <v>7338327</v>
      </c>
      <c r="S52" s="124">
        <f t="shared" si="6"/>
        <v>795991</v>
      </c>
      <c r="T52" s="124">
        <f t="shared" si="6"/>
        <v>154250</v>
      </c>
      <c r="U52" s="124">
        <f t="shared" si="6"/>
        <v>6184</v>
      </c>
      <c r="V52" s="124">
        <f t="shared" si="6"/>
        <v>179768</v>
      </c>
      <c r="W52" s="124">
        <f t="shared" si="6"/>
        <v>33535</v>
      </c>
      <c r="X52" s="124">
        <f t="shared" si="6"/>
        <v>39875</v>
      </c>
      <c r="Y52" s="124">
        <f t="shared" si="6"/>
        <v>389499</v>
      </c>
      <c r="Z52" s="124">
        <f t="shared" si="6"/>
        <v>9779233</v>
      </c>
      <c r="AA52" s="124">
        <f t="shared" si="6"/>
        <v>377612</v>
      </c>
      <c r="AB52" s="124">
        <f t="shared" si="6"/>
        <v>240466</v>
      </c>
      <c r="AC52" s="124">
        <f t="shared" si="6"/>
        <v>83136</v>
      </c>
      <c r="AD52" s="124">
        <f t="shared" si="6"/>
        <v>388616</v>
      </c>
      <c r="AE52" s="124">
        <f t="shared" si="6"/>
        <v>62195</v>
      </c>
      <c r="AF52" s="124">
        <f t="shared" si="6"/>
        <v>25114</v>
      </c>
      <c r="AG52" s="124">
        <f t="shared" si="6"/>
        <v>13449</v>
      </c>
      <c r="AH52" s="124">
        <f t="shared" si="6"/>
        <v>372961</v>
      </c>
      <c r="AI52" s="124">
        <f t="shared" si="6"/>
        <v>37620</v>
      </c>
      <c r="AJ52" s="124">
        <f t="shared" si="6"/>
        <v>70497</v>
      </c>
      <c r="AK52" s="124">
        <f t="shared" si="6"/>
        <v>159551</v>
      </c>
      <c r="AL52" s="124">
        <f t="shared" si="6"/>
        <v>27460</v>
      </c>
      <c r="AM52" s="124">
        <f t="shared" si="6"/>
        <v>10987</v>
      </c>
      <c r="AN52" s="124">
        <f t="shared" si="6"/>
        <v>2754683</v>
      </c>
      <c r="AO52" s="124">
        <f t="shared" si="6"/>
        <v>-372916</v>
      </c>
      <c r="AP52" s="124">
        <f t="shared" si="6"/>
        <v>2627425</v>
      </c>
      <c r="AQ52" s="124">
        <f t="shared" si="6"/>
        <v>1721459</v>
      </c>
      <c r="AR52" s="124">
        <f t="shared" si="6"/>
        <v>6057</v>
      </c>
      <c r="AS52" s="124">
        <f t="shared" si="6"/>
        <v>30034</v>
      </c>
      <c r="AT52" s="124">
        <f t="shared" si="6"/>
        <v>326775</v>
      </c>
      <c r="AU52" s="124"/>
      <c r="AV52" s="124">
        <f>+AV13-AV20+AV32-AV40-AV45+AV47-AV49</f>
        <v>35169382</v>
      </c>
    </row>
    <row r="53" spans="1:48" ht="11.25" customHeight="1">
      <c r="A53" s="126"/>
      <c r="B53" s="126"/>
      <c r="C53" s="124"/>
      <c r="D53" s="124"/>
      <c r="E53" s="124"/>
      <c r="F53" s="122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2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V53" s="123"/>
    </row>
    <row r="54" spans="1:48" ht="11.25" customHeight="1" outlineLevel="1">
      <c r="A54" s="125" t="s">
        <v>78</v>
      </c>
      <c r="B54" s="125"/>
      <c r="C54" s="124">
        <f aca="true" t="shared" si="7" ref="C54:AT54">SUM(C55:C56)</f>
        <v>0</v>
      </c>
      <c r="D54" s="124">
        <f t="shared" si="7"/>
        <v>0</v>
      </c>
      <c r="E54" s="124">
        <f t="shared" si="7"/>
        <v>0</v>
      </c>
      <c r="F54" s="124">
        <f t="shared" si="7"/>
        <v>0</v>
      </c>
      <c r="G54" s="124">
        <f t="shared" si="7"/>
        <v>0</v>
      </c>
      <c r="H54" s="124">
        <f t="shared" si="7"/>
        <v>0</v>
      </c>
      <c r="I54" s="124">
        <f t="shared" si="7"/>
        <v>0</v>
      </c>
      <c r="J54" s="124">
        <f t="shared" si="7"/>
        <v>0</v>
      </c>
      <c r="K54" s="124">
        <f t="shared" si="7"/>
        <v>0</v>
      </c>
      <c r="L54" s="124">
        <f t="shared" si="7"/>
        <v>0</v>
      </c>
      <c r="M54" s="124">
        <f t="shared" si="7"/>
        <v>0</v>
      </c>
      <c r="N54" s="124">
        <f t="shared" si="7"/>
        <v>0</v>
      </c>
      <c r="O54" s="124">
        <f t="shared" si="7"/>
        <v>0</v>
      </c>
      <c r="P54" s="124">
        <f t="shared" si="7"/>
        <v>0</v>
      </c>
      <c r="Q54" s="124">
        <f t="shared" si="7"/>
        <v>0</v>
      </c>
      <c r="R54" s="124">
        <f t="shared" si="7"/>
        <v>0</v>
      </c>
      <c r="S54" s="124">
        <f t="shared" si="7"/>
        <v>0</v>
      </c>
      <c r="T54" s="124">
        <f t="shared" si="7"/>
        <v>0</v>
      </c>
      <c r="U54" s="124">
        <f t="shared" si="7"/>
        <v>0</v>
      </c>
      <c r="V54" s="124">
        <f t="shared" si="7"/>
        <v>0</v>
      </c>
      <c r="W54" s="124">
        <f t="shared" si="7"/>
        <v>0</v>
      </c>
      <c r="X54" s="124">
        <f t="shared" si="7"/>
        <v>0</v>
      </c>
      <c r="Y54" s="124">
        <f t="shared" si="7"/>
        <v>0</v>
      </c>
      <c r="Z54" s="124">
        <f t="shared" si="7"/>
        <v>0</v>
      </c>
      <c r="AA54" s="124">
        <f t="shared" si="7"/>
        <v>0</v>
      </c>
      <c r="AB54" s="124">
        <f t="shared" si="7"/>
        <v>0</v>
      </c>
      <c r="AC54" s="124">
        <f t="shared" si="7"/>
        <v>0</v>
      </c>
      <c r="AD54" s="124">
        <f t="shared" si="7"/>
        <v>0</v>
      </c>
      <c r="AE54" s="124">
        <f t="shared" si="7"/>
        <v>0</v>
      </c>
      <c r="AF54" s="124">
        <f t="shared" si="7"/>
        <v>0</v>
      </c>
      <c r="AG54" s="124">
        <f t="shared" si="7"/>
        <v>0</v>
      </c>
      <c r="AH54" s="124">
        <f t="shared" si="7"/>
        <v>0</v>
      </c>
      <c r="AI54" s="124">
        <f t="shared" si="7"/>
        <v>0</v>
      </c>
      <c r="AJ54" s="124">
        <f t="shared" si="7"/>
        <v>0</v>
      </c>
      <c r="AK54" s="124">
        <f t="shared" si="7"/>
        <v>0</v>
      </c>
      <c r="AL54" s="124">
        <f t="shared" si="7"/>
        <v>0</v>
      </c>
      <c r="AM54" s="124">
        <f t="shared" si="7"/>
        <v>0</v>
      </c>
      <c r="AN54" s="124">
        <f t="shared" si="7"/>
        <v>0</v>
      </c>
      <c r="AO54" s="124">
        <f t="shared" si="7"/>
        <v>0</v>
      </c>
      <c r="AP54" s="124">
        <f t="shared" si="7"/>
        <v>0</v>
      </c>
      <c r="AQ54" s="124">
        <f t="shared" si="7"/>
        <v>0</v>
      </c>
      <c r="AR54" s="124">
        <f t="shared" si="7"/>
        <v>0</v>
      </c>
      <c r="AS54" s="124">
        <f t="shared" si="7"/>
        <v>0</v>
      </c>
      <c r="AT54" s="124">
        <f t="shared" si="7"/>
        <v>0</v>
      </c>
      <c r="AU54" s="124"/>
      <c r="AV54" s="124">
        <f>SUM(AV55:AV56)</f>
        <v>0</v>
      </c>
    </row>
    <row r="55" spans="1:48" ht="11.25" customHeight="1" outlineLevel="1">
      <c r="A55" s="126" t="s">
        <v>79</v>
      </c>
      <c r="B55" s="126"/>
      <c r="C55" s="124">
        <v>0</v>
      </c>
      <c r="D55" s="124">
        <v>0</v>
      </c>
      <c r="E55" s="124">
        <v>0</v>
      </c>
      <c r="F55" s="122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2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V55" s="123">
        <f>SUM(C55:AT55)</f>
        <v>0</v>
      </c>
    </row>
    <row r="56" spans="1:48" ht="11.25" customHeight="1" outlineLevel="1">
      <c r="A56" s="126" t="s">
        <v>608</v>
      </c>
      <c r="B56" s="126"/>
      <c r="C56" s="124">
        <v>0</v>
      </c>
      <c r="D56" s="124">
        <v>0</v>
      </c>
      <c r="E56" s="124">
        <v>0</v>
      </c>
      <c r="F56" s="122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2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V56" s="123">
        <f>SUM(C56:AT56)</f>
        <v>0</v>
      </c>
    </row>
    <row r="57" spans="1:48" ht="11.25" customHeight="1" outlineLevel="1">
      <c r="A57" s="125"/>
      <c r="B57" s="125"/>
      <c r="C57" s="124"/>
      <c r="D57" s="124"/>
      <c r="E57" s="124"/>
      <c r="F57" s="122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2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V57" s="123"/>
    </row>
    <row r="58" spans="1:48" ht="11.25" customHeight="1" outlineLevel="1">
      <c r="A58" s="125" t="s">
        <v>80</v>
      </c>
      <c r="B58" s="125"/>
      <c r="C58" s="124">
        <v>0</v>
      </c>
      <c r="D58" s="124">
        <v>0</v>
      </c>
      <c r="E58" s="124">
        <v>0</v>
      </c>
      <c r="F58" s="122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2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V58" s="123">
        <f>SUM(C58:AT58)</f>
        <v>0</v>
      </c>
    </row>
    <row r="59" spans="1:48" ht="11.25" customHeight="1" outlineLevel="1">
      <c r="A59" s="125"/>
      <c r="B59" s="125"/>
      <c r="C59" s="124"/>
      <c r="D59" s="124"/>
      <c r="E59" s="124"/>
      <c r="F59" s="122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2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V59" s="123"/>
    </row>
    <row r="60" spans="1:48" ht="11.25" customHeight="1">
      <c r="A60" s="125" t="s">
        <v>81</v>
      </c>
      <c r="B60" s="125"/>
      <c r="C60" s="124">
        <f aca="true" t="shared" si="8" ref="C60:AT60">+C52+C54+C58</f>
        <v>951764</v>
      </c>
      <c r="D60" s="124">
        <f t="shared" si="8"/>
        <v>346718</v>
      </c>
      <c r="E60" s="124">
        <f t="shared" si="8"/>
        <v>93350</v>
      </c>
      <c r="F60" s="124">
        <f t="shared" si="8"/>
        <v>1454733</v>
      </c>
      <c r="G60" s="124">
        <f t="shared" si="8"/>
        <v>183225</v>
      </c>
      <c r="H60" s="124">
        <f t="shared" si="8"/>
        <v>209124</v>
      </c>
      <c r="I60" s="124">
        <f t="shared" si="8"/>
        <v>-176</v>
      </c>
      <c r="J60" s="124">
        <f t="shared" si="8"/>
        <v>22956</v>
      </c>
      <c r="K60" s="124">
        <f t="shared" si="8"/>
        <v>32775</v>
      </c>
      <c r="L60" s="124">
        <f t="shared" si="8"/>
        <v>19768</v>
      </c>
      <c r="M60" s="124">
        <f t="shared" si="8"/>
        <v>21214</v>
      </c>
      <c r="N60" s="124">
        <f t="shared" si="8"/>
        <v>968</v>
      </c>
      <c r="O60" s="124">
        <f t="shared" si="8"/>
        <v>70928</v>
      </c>
      <c r="P60" s="124">
        <f t="shared" si="8"/>
        <v>478836</v>
      </c>
      <c r="Q60" s="124">
        <f t="shared" si="8"/>
        <v>3603356</v>
      </c>
      <c r="R60" s="124">
        <f t="shared" si="8"/>
        <v>7338327</v>
      </c>
      <c r="S60" s="124">
        <f t="shared" si="8"/>
        <v>795991</v>
      </c>
      <c r="T60" s="124">
        <f t="shared" si="8"/>
        <v>154250</v>
      </c>
      <c r="U60" s="124">
        <f t="shared" si="8"/>
        <v>6184</v>
      </c>
      <c r="V60" s="124">
        <f t="shared" si="8"/>
        <v>179768</v>
      </c>
      <c r="W60" s="124">
        <f t="shared" si="8"/>
        <v>33535</v>
      </c>
      <c r="X60" s="124">
        <f t="shared" si="8"/>
        <v>39875</v>
      </c>
      <c r="Y60" s="124">
        <f t="shared" si="8"/>
        <v>389499</v>
      </c>
      <c r="Z60" s="124">
        <f t="shared" si="8"/>
        <v>9779233</v>
      </c>
      <c r="AA60" s="124">
        <f t="shared" si="8"/>
        <v>377612</v>
      </c>
      <c r="AB60" s="124">
        <f t="shared" si="8"/>
        <v>240466</v>
      </c>
      <c r="AC60" s="124">
        <f t="shared" si="8"/>
        <v>83136</v>
      </c>
      <c r="AD60" s="124">
        <f t="shared" si="8"/>
        <v>388616</v>
      </c>
      <c r="AE60" s="124">
        <f t="shared" si="8"/>
        <v>62195</v>
      </c>
      <c r="AF60" s="124">
        <f t="shared" si="8"/>
        <v>25114</v>
      </c>
      <c r="AG60" s="124">
        <f t="shared" si="8"/>
        <v>13449</v>
      </c>
      <c r="AH60" s="124">
        <f t="shared" si="8"/>
        <v>372961</v>
      </c>
      <c r="AI60" s="124">
        <f t="shared" si="8"/>
        <v>37620</v>
      </c>
      <c r="AJ60" s="124">
        <f t="shared" si="8"/>
        <v>70497</v>
      </c>
      <c r="AK60" s="124">
        <f t="shared" si="8"/>
        <v>159551</v>
      </c>
      <c r="AL60" s="124">
        <f t="shared" si="8"/>
        <v>27460</v>
      </c>
      <c r="AM60" s="124">
        <f t="shared" si="8"/>
        <v>10987</v>
      </c>
      <c r="AN60" s="124">
        <f t="shared" si="8"/>
        <v>2754683</v>
      </c>
      <c r="AO60" s="124">
        <f t="shared" si="8"/>
        <v>-372916</v>
      </c>
      <c r="AP60" s="124">
        <f t="shared" si="8"/>
        <v>2627425</v>
      </c>
      <c r="AQ60" s="124">
        <f t="shared" si="8"/>
        <v>1721459</v>
      </c>
      <c r="AR60" s="124">
        <f t="shared" si="8"/>
        <v>6057</v>
      </c>
      <c r="AS60" s="124">
        <f t="shared" si="8"/>
        <v>30034</v>
      </c>
      <c r="AT60" s="124">
        <f t="shared" si="8"/>
        <v>326775</v>
      </c>
      <c r="AU60" s="124"/>
      <c r="AV60" s="124">
        <f>+AV52+AV54+AV58</f>
        <v>35169382</v>
      </c>
    </row>
    <row r="61" spans="1:48" ht="11.25" customHeight="1">
      <c r="A61" s="126"/>
      <c r="B61" s="126"/>
      <c r="C61" s="124"/>
      <c r="D61" s="124"/>
      <c r="E61" s="124"/>
      <c r="F61" s="122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2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V61" s="123"/>
    </row>
    <row r="62" spans="1:48" ht="11.25" customHeight="1">
      <c r="A62" s="125" t="s">
        <v>82</v>
      </c>
      <c r="B62" s="125"/>
      <c r="C62" s="122">
        <v>3014754</v>
      </c>
      <c r="D62" s="122">
        <v>916329</v>
      </c>
      <c r="E62" s="122">
        <v>351505</v>
      </c>
      <c r="F62" s="122">
        <v>4124096</v>
      </c>
      <c r="G62" s="122">
        <v>610279</v>
      </c>
      <c r="H62" s="122">
        <v>962017</v>
      </c>
      <c r="I62" s="122">
        <v>21854</v>
      </c>
      <c r="J62" s="122">
        <v>44439</v>
      </c>
      <c r="K62" s="122">
        <v>61905</v>
      </c>
      <c r="L62" s="122">
        <v>35552</v>
      </c>
      <c r="M62" s="122">
        <v>53752</v>
      </c>
      <c r="N62" s="122">
        <v>4026</v>
      </c>
      <c r="O62" s="122">
        <v>271306</v>
      </c>
      <c r="P62" s="122">
        <v>1696996</v>
      </c>
      <c r="Q62" s="122">
        <v>7429087</v>
      </c>
      <c r="R62" s="122">
        <v>24176529</v>
      </c>
      <c r="S62" s="122">
        <v>2273427</v>
      </c>
      <c r="T62" s="122">
        <v>1238005</v>
      </c>
      <c r="U62" s="122">
        <v>3213</v>
      </c>
      <c r="V62" s="122">
        <v>568399</v>
      </c>
      <c r="W62" s="122">
        <v>166311</v>
      </c>
      <c r="X62" s="122">
        <v>101761</v>
      </c>
      <c r="Y62" s="122">
        <v>1696120</v>
      </c>
      <c r="Z62" s="122">
        <v>31153574</v>
      </c>
      <c r="AA62" s="122">
        <v>2385970</v>
      </c>
      <c r="AB62" s="122">
        <v>4185436</v>
      </c>
      <c r="AC62" s="122">
        <v>339856</v>
      </c>
      <c r="AD62" s="122">
        <v>1264758</v>
      </c>
      <c r="AE62" s="122">
        <v>268093</v>
      </c>
      <c r="AF62" s="122">
        <v>76527</v>
      </c>
      <c r="AG62" s="122">
        <v>73188</v>
      </c>
      <c r="AH62" s="122">
        <v>1027394</v>
      </c>
      <c r="AI62" s="122">
        <v>0</v>
      </c>
      <c r="AJ62" s="122">
        <v>252648</v>
      </c>
      <c r="AK62" s="122">
        <v>429367</v>
      </c>
      <c r="AL62" s="122">
        <v>60872</v>
      </c>
      <c r="AM62" s="122">
        <v>38845</v>
      </c>
      <c r="AN62" s="122">
        <v>5556327</v>
      </c>
      <c r="AO62" s="122">
        <v>5916258</v>
      </c>
      <c r="AP62" s="122">
        <v>1299641</v>
      </c>
      <c r="AQ62" s="122">
        <v>558304</v>
      </c>
      <c r="AR62" s="122">
        <v>32902</v>
      </c>
      <c r="AS62" s="122">
        <v>93146</v>
      </c>
      <c r="AT62" s="122">
        <v>1892284</v>
      </c>
      <c r="AV62" s="123">
        <f>SUM(C62:AT62)</f>
        <v>106727052</v>
      </c>
    </row>
    <row r="63" spans="1:48" ht="11.25" customHeight="1">
      <c r="A63" s="125"/>
      <c r="B63" s="125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V63" s="123"/>
    </row>
    <row r="64" spans="1:48" ht="10.5" customHeight="1">
      <c r="A64" s="7"/>
      <c r="B64" s="7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V64" s="123"/>
    </row>
    <row r="65" spans="1:49" s="37" customFormat="1" ht="11.25" customHeight="1">
      <c r="A65" s="8" t="s">
        <v>297</v>
      </c>
      <c r="B65" s="8"/>
      <c r="C65" s="354">
        <f aca="true" t="shared" si="9" ref="C65:AT65">+C60+C62</f>
        <v>3966518</v>
      </c>
      <c r="D65" s="354">
        <f t="shared" si="9"/>
        <v>1263047</v>
      </c>
      <c r="E65" s="354">
        <f t="shared" si="9"/>
        <v>444855</v>
      </c>
      <c r="F65" s="354">
        <f t="shared" si="9"/>
        <v>5578829</v>
      </c>
      <c r="G65" s="354">
        <f t="shared" si="9"/>
        <v>793504</v>
      </c>
      <c r="H65" s="354">
        <f t="shared" si="9"/>
        <v>1171141</v>
      </c>
      <c r="I65" s="354">
        <f t="shared" si="9"/>
        <v>21678</v>
      </c>
      <c r="J65" s="354">
        <f t="shared" si="9"/>
        <v>67395</v>
      </c>
      <c r="K65" s="354">
        <f t="shared" si="9"/>
        <v>94680</v>
      </c>
      <c r="L65" s="354">
        <f t="shared" si="9"/>
        <v>55320</v>
      </c>
      <c r="M65" s="354">
        <f t="shared" si="9"/>
        <v>74966</v>
      </c>
      <c r="N65" s="354">
        <f t="shared" si="9"/>
        <v>4994</v>
      </c>
      <c r="O65" s="354">
        <f t="shared" si="9"/>
        <v>342234</v>
      </c>
      <c r="P65" s="354">
        <f t="shared" si="9"/>
        <v>2175832</v>
      </c>
      <c r="Q65" s="354">
        <f t="shared" si="9"/>
        <v>11032443</v>
      </c>
      <c r="R65" s="354">
        <f t="shared" si="9"/>
        <v>31514856</v>
      </c>
      <c r="S65" s="354">
        <f t="shared" si="9"/>
        <v>3069418</v>
      </c>
      <c r="T65" s="354">
        <f t="shared" si="9"/>
        <v>1392255</v>
      </c>
      <c r="U65" s="354">
        <f t="shared" si="9"/>
        <v>9397</v>
      </c>
      <c r="V65" s="354">
        <f t="shared" si="9"/>
        <v>748167</v>
      </c>
      <c r="W65" s="354">
        <f t="shared" si="9"/>
        <v>199846</v>
      </c>
      <c r="X65" s="354">
        <f t="shared" si="9"/>
        <v>141636</v>
      </c>
      <c r="Y65" s="354">
        <f t="shared" si="9"/>
        <v>2085619</v>
      </c>
      <c r="Z65" s="354">
        <f t="shared" si="9"/>
        <v>40932807</v>
      </c>
      <c r="AA65" s="354">
        <f t="shared" si="9"/>
        <v>2763582</v>
      </c>
      <c r="AB65" s="354">
        <f t="shared" si="9"/>
        <v>4425902</v>
      </c>
      <c r="AC65" s="354">
        <f t="shared" si="9"/>
        <v>422992</v>
      </c>
      <c r="AD65" s="354">
        <f t="shared" si="9"/>
        <v>1653374</v>
      </c>
      <c r="AE65" s="354">
        <f t="shared" si="9"/>
        <v>330288</v>
      </c>
      <c r="AF65" s="354">
        <f t="shared" si="9"/>
        <v>101641</v>
      </c>
      <c r="AG65" s="354">
        <f t="shared" si="9"/>
        <v>86637</v>
      </c>
      <c r="AH65" s="354">
        <f t="shared" si="9"/>
        <v>1400355</v>
      </c>
      <c r="AI65" s="354">
        <f t="shared" si="9"/>
        <v>37620</v>
      </c>
      <c r="AJ65" s="354">
        <f t="shared" si="9"/>
        <v>323145</v>
      </c>
      <c r="AK65" s="354">
        <f t="shared" si="9"/>
        <v>588918</v>
      </c>
      <c r="AL65" s="354">
        <f t="shared" si="9"/>
        <v>88332</v>
      </c>
      <c r="AM65" s="354">
        <f t="shared" si="9"/>
        <v>49832</v>
      </c>
      <c r="AN65" s="354">
        <f t="shared" si="9"/>
        <v>8311010</v>
      </c>
      <c r="AO65" s="354">
        <f t="shared" si="9"/>
        <v>5543342</v>
      </c>
      <c r="AP65" s="354">
        <f t="shared" si="9"/>
        <v>3927066</v>
      </c>
      <c r="AQ65" s="354">
        <f t="shared" si="9"/>
        <v>2279763</v>
      </c>
      <c r="AR65" s="354">
        <f t="shared" si="9"/>
        <v>38959</v>
      </c>
      <c r="AS65" s="354">
        <f t="shared" si="9"/>
        <v>123180</v>
      </c>
      <c r="AT65" s="354">
        <f t="shared" si="9"/>
        <v>2219059</v>
      </c>
      <c r="AU65" s="354"/>
      <c r="AV65" s="354">
        <f>+AV60+AV62</f>
        <v>141896434</v>
      </c>
      <c r="AW65" s="11"/>
    </row>
    <row r="66" spans="3:48" ht="11.25" customHeight="1"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V66" s="123"/>
    </row>
    <row r="67" spans="1:48" ht="16.5" customHeight="1">
      <c r="A67" s="9" t="s">
        <v>84</v>
      </c>
      <c r="B67" s="5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V67" s="123"/>
    </row>
    <row r="68" spans="1:48" ht="11.25" customHeight="1">
      <c r="A68" s="16" t="s">
        <v>85</v>
      </c>
      <c r="B68" s="1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V68" s="123"/>
    </row>
    <row r="69" spans="1:48" ht="11.25" customHeight="1" outlineLevel="1">
      <c r="A69" s="17" t="s">
        <v>298</v>
      </c>
      <c r="B69" s="17"/>
      <c r="C69" s="128">
        <v>0</v>
      </c>
      <c r="D69" s="128">
        <v>0</v>
      </c>
      <c r="E69" s="128">
        <v>0</v>
      </c>
      <c r="F69" s="129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0</v>
      </c>
      <c r="AC69" s="128">
        <v>0</v>
      </c>
      <c r="AD69" s="128">
        <v>0</v>
      </c>
      <c r="AE69" s="128">
        <v>0</v>
      </c>
      <c r="AF69" s="129">
        <v>0</v>
      </c>
      <c r="AG69" s="128">
        <v>0</v>
      </c>
      <c r="AH69" s="128">
        <v>0</v>
      </c>
      <c r="AI69" s="128">
        <v>0</v>
      </c>
      <c r="AJ69" s="128">
        <v>0</v>
      </c>
      <c r="AK69" s="128">
        <v>0</v>
      </c>
      <c r="AL69" s="128">
        <v>0</v>
      </c>
      <c r="AM69" s="128">
        <v>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0</v>
      </c>
      <c r="AT69" s="128">
        <v>0</v>
      </c>
      <c r="AV69" s="123">
        <f>SUM(C69:AT69)</f>
        <v>0</v>
      </c>
    </row>
    <row r="70" spans="1:48" ht="11.25" customHeight="1" outlineLevel="1">
      <c r="A70" s="4"/>
      <c r="B70" s="4"/>
      <c r="C70" s="128"/>
      <c r="D70" s="128"/>
      <c r="E70" s="128"/>
      <c r="F70" s="129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9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V70" s="123"/>
    </row>
    <row r="71" spans="1:48" ht="11.25" customHeight="1" outlineLevel="1">
      <c r="A71" s="4" t="s">
        <v>87</v>
      </c>
      <c r="B71" s="4"/>
      <c r="C71" s="128"/>
      <c r="D71" s="128"/>
      <c r="E71" s="128"/>
      <c r="F71" s="129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9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V71" s="123"/>
    </row>
    <row r="72" spans="1:48" ht="11.25" customHeight="1" outlineLevel="1">
      <c r="A72" s="6" t="s">
        <v>88</v>
      </c>
      <c r="B72" s="6"/>
      <c r="C72" s="128">
        <v>0</v>
      </c>
      <c r="D72" s="128">
        <v>0</v>
      </c>
      <c r="E72" s="128">
        <v>0</v>
      </c>
      <c r="F72" s="129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9">
        <v>1906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9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8">
        <v>0</v>
      </c>
      <c r="AV72" s="123">
        <f>SUM(C72:AT72)</f>
        <v>1906</v>
      </c>
    </row>
    <row r="73" spans="1:48" ht="11.25" customHeight="1" outlineLevel="1">
      <c r="A73" s="18" t="s">
        <v>89</v>
      </c>
      <c r="B73" s="18"/>
      <c r="C73" s="128"/>
      <c r="D73" s="128"/>
      <c r="E73" s="128"/>
      <c r="F73" s="12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8"/>
      <c r="AA73" s="128"/>
      <c r="AB73" s="128"/>
      <c r="AC73" s="128"/>
      <c r="AD73" s="128"/>
      <c r="AE73" s="128"/>
      <c r="AF73" s="129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V73" s="123"/>
    </row>
    <row r="74" spans="1:48" ht="11.25" customHeight="1" outlineLevel="1">
      <c r="A74" s="6" t="s">
        <v>90</v>
      </c>
      <c r="B74" s="6"/>
      <c r="C74" s="128">
        <v>0</v>
      </c>
      <c r="D74" s="128">
        <v>0</v>
      </c>
      <c r="E74" s="128">
        <v>0</v>
      </c>
      <c r="F74" s="129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28">
        <v>0</v>
      </c>
      <c r="AD74" s="128">
        <v>0</v>
      </c>
      <c r="AE74" s="128">
        <v>0</v>
      </c>
      <c r="AF74" s="129">
        <v>0</v>
      </c>
      <c r="AG74" s="128">
        <v>0</v>
      </c>
      <c r="AH74" s="128">
        <v>0</v>
      </c>
      <c r="AI74" s="128">
        <v>0</v>
      </c>
      <c r="AJ74" s="128">
        <v>0</v>
      </c>
      <c r="AK74" s="128">
        <v>0</v>
      </c>
      <c r="AL74" s="128">
        <v>0</v>
      </c>
      <c r="AM74" s="128">
        <v>0</v>
      </c>
      <c r="AN74" s="128">
        <v>0</v>
      </c>
      <c r="AO74" s="128">
        <v>0</v>
      </c>
      <c r="AP74" s="128">
        <v>0</v>
      </c>
      <c r="AQ74" s="128">
        <v>0</v>
      </c>
      <c r="AR74" s="128">
        <v>0</v>
      </c>
      <c r="AS74" s="128">
        <v>0</v>
      </c>
      <c r="AT74" s="128">
        <v>0</v>
      </c>
      <c r="AV74" s="123">
        <f>SUM(C74:AT74)</f>
        <v>0</v>
      </c>
    </row>
    <row r="75" spans="1:48" ht="11.25" customHeight="1" outlineLevel="1">
      <c r="A75" s="6" t="s">
        <v>91</v>
      </c>
      <c r="B75" s="6"/>
      <c r="C75" s="128">
        <v>0</v>
      </c>
      <c r="D75" s="128">
        <v>0</v>
      </c>
      <c r="E75" s="128">
        <v>0</v>
      </c>
      <c r="F75" s="129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0</v>
      </c>
      <c r="AA75" s="128">
        <v>0</v>
      </c>
      <c r="AB75" s="128">
        <v>0</v>
      </c>
      <c r="AC75" s="128">
        <v>0</v>
      </c>
      <c r="AD75" s="128">
        <v>0</v>
      </c>
      <c r="AE75" s="128">
        <v>0</v>
      </c>
      <c r="AF75" s="129">
        <v>0</v>
      </c>
      <c r="AG75" s="128">
        <v>0</v>
      </c>
      <c r="AH75" s="128">
        <v>0</v>
      </c>
      <c r="AI75" s="128">
        <v>0</v>
      </c>
      <c r="AJ75" s="128">
        <v>0</v>
      </c>
      <c r="AK75" s="128">
        <v>0</v>
      </c>
      <c r="AL75" s="128">
        <v>0</v>
      </c>
      <c r="AM75" s="128">
        <v>0</v>
      </c>
      <c r="AN75" s="128">
        <v>0</v>
      </c>
      <c r="AO75" s="128">
        <v>0</v>
      </c>
      <c r="AP75" s="128">
        <v>0</v>
      </c>
      <c r="AQ75" s="128">
        <v>0</v>
      </c>
      <c r="AR75" s="128">
        <v>0</v>
      </c>
      <c r="AS75" s="128">
        <v>0</v>
      </c>
      <c r="AT75" s="128">
        <v>0</v>
      </c>
      <c r="AV75" s="123">
        <f>SUM(C75:AT75)</f>
        <v>0</v>
      </c>
    </row>
    <row r="76" spans="1:48" ht="11.25" customHeight="1" outlineLevel="1">
      <c r="A76" s="6" t="s">
        <v>92</v>
      </c>
      <c r="B76" s="6"/>
      <c r="C76" s="128">
        <v>0</v>
      </c>
      <c r="D76" s="128">
        <v>0</v>
      </c>
      <c r="E76" s="128">
        <v>0</v>
      </c>
      <c r="F76" s="129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8">
        <v>0</v>
      </c>
      <c r="AB76" s="128">
        <v>0</v>
      </c>
      <c r="AC76" s="128">
        <v>0</v>
      </c>
      <c r="AD76" s="128">
        <v>0</v>
      </c>
      <c r="AE76" s="128">
        <v>0</v>
      </c>
      <c r="AF76" s="129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128">
        <v>0</v>
      </c>
      <c r="AT76" s="128">
        <v>0</v>
      </c>
      <c r="AV76" s="123">
        <f>SUM(C76:AT76)</f>
        <v>0</v>
      </c>
    </row>
    <row r="77" spans="1:48" ht="11.25" customHeight="1" outlineLevel="1">
      <c r="A77" s="6" t="s">
        <v>93</v>
      </c>
      <c r="B77" s="6"/>
      <c r="C77" s="128">
        <v>0</v>
      </c>
      <c r="D77" s="128">
        <v>0</v>
      </c>
      <c r="E77" s="128">
        <v>0</v>
      </c>
      <c r="F77" s="129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8">
        <v>0</v>
      </c>
      <c r="AF77" s="129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128">
        <v>0</v>
      </c>
      <c r="AT77" s="128">
        <v>0</v>
      </c>
      <c r="AV77" s="123">
        <f>SUM(C77:AT77)</f>
        <v>0</v>
      </c>
    </row>
    <row r="78" spans="1:48" ht="11.25" customHeight="1" outlineLevel="1">
      <c r="A78" s="6"/>
      <c r="B78" s="6"/>
      <c r="C78" s="128"/>
      <c r="D78" s="128"/>
      <c r="E78" s="128"/>
      <c r="F78" s="129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9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V78" s="123"/>
    </row>
    <row r="79" spans="1:48" ht="11.25" customHeight="1" outlineLevel="1">
      <c r="A79" s="18" t="s">
        <v>94</v>
      </c>
      <c r="B79" s="18"/>
      <c r="C79" s="128"/>
      <c r="D79" s="128"/>
      <c r="E79" s="128"/>
      <c r="F79" s="129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9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V79" s="123"/>
    </row>
    <row r="80" spans="1:48" ht="11.25" customHeight="1" outlineLevel="1">
      <c r="A80" s="6" t="s">
        <v>95</v>
      </c>
      <c r="B80" s="6"/>
      <c r="C80" s="129">
        <v>3675052</v>
      </c>
      <c r="D80" s="129">
        <v>1107057</v>
      </c>
      <c r="E80" s="129">
        <v>0</v>
      </c>
      <c r="F80" s="129">
        <v>3252954</v>
      </c>
      <c r="G80" s="129">
        <v>304180</v>
      </c>
      <c r="H80" s="129">
        <v>298531</v>
      </c>
      <c r="I80" s="129">
        <v>0</v>
      </c>
      <c r="J80" s="129">
        <v>28963</v>
      </c>
      <c r="K80" s="129">
        <v>31977</v>
      </c>
      <c r="L80" s="129">
        <v>12166</v>
      </c>
      <c r="M80" s="129">
        <v>8454</v>
      </c>
      <c r="N80" s="128">
        <v>0</v>
      </c>
      <c r="O80" s="129">
        <v>140445</v>
      </c>
      <c r="P80" s="128">
        <v>0</v>
      </c>
      <c r="Q80" s="129">
        <v>8330531</v>
      </c>
      <c r="R80" s="129">
        <v>24567618</v>
      </c>
      <c r="S80" s="129">
        <v>1927871</v>
      </c>
      <c r="T80" s="129">
        <v>1380187</v>
      </c>
      <c r="U80" s="128">
        <v>0</v>
      </c>
      <c r="V80" s="128">
        <v>0</v>
      </c>
      <c r="W80" s="129">
        <v>37880</v>
      </c>
      <c r="X80" s="129">
        <v>35652</v>
      </c>
      <c r="Y80" s="129">
        <v>940456</v>
      </c>
      <c r="Z80" s="129">
        <v>25952791</v>
      </c>
      <c r="AA80" s="129">
        <v>1479760</v>
      </c>
      <c r="AB80" s="129">
        <v>8669</v>
      </c>
      <c r="AC80" s="129">
        <v>107870</v>
      </c>
      <c r="AD80" s="129">
        <v>842216</v>
      </c>
      <c r="AE80" s="129">
        <v>330245</v>
      </c>
      <c r="AF80" s="129">
        <v>99947</v>
      </c>
      <c r="AG80" s="129">
        <v>88076</v>
      </c>
      <c r="AH80" s="129">
        <v>1391277</v>
      </c>
      <c r="AI80" s="129">
        <v>36339</v>
      </c>
      <c r="AJ80" s="129">
        <v>252310</v>
      </c>
      <c r="AK80" s="129">
        <v>485853</v>
      </c>
      <c r="AL80" s="129">
        <v>87160</v>
      </c>
      <c r="AM80" s="128">
        <v>0</v>
      </c>
      <c r="AN80" s="129">
        <v>7951443</v>
      </c>
      <c r="AO80" s="129">
        <v>5305221</v>
      </c>
      <c r="AP80" s="129">
        <v>3866121</v>
      </c>
      <c r="AQ80" s="128">
        <v>0</v>
      </c>
      <c r="AR80" s="129">
        <v>15818</v>
      </c>
      <c r="AS80" s="129">
        <v>75099</v>
      </c>
      <c r="AT80" s="129">
        <v>2054070</v>
      </c>
      <c r="AV80" s="123">
        <f aca="true" t="shared" si="10" ref="AV80:AV85">SUM(C80:AT80)</f>
        <v>96510259</v>
      </c>
    </row>
    <row r="81" spans="1:48" ht="11.25" customHeight="1" outlineLevel="1">
      <c r="A81" s="6" t="s">
        <v>96</v>
      </c>
      <c r="B81" s="6"/>
      <c r="C81" s="129">
        <v>263730</v>
      </c>
      <c r="D81" s="129">
        <v>112100</v>
      </c>
      <c r="E81" s="129">
        <v>0</v>
      </c>
      <c r="F81" s="129">
        <v>1552349</v>
      </c>
      <c r="G81" s="129">
        <v>375650</v>
      </c>
      <c r="H81" s="129">
        <v>782627</v>
      </c>
      <c r="I81" s="128">
        <v>0</v>
      </c>
      <c r="J81" s="129">
        <v>35006</v>
      </c>
      <c r="K81" s="129">
        <v>57114</v>
      </c>
      <c r="L81" s="129">
        <v>39307</v>
      </c>
      <c r="M81" s="129">
        <v>60583</v>
      </c>
      <c r="N81" s="129">
        <v>4549</v>
      </c>
      <c r="O81" s="129">
        <v>183340</v>
      </c>
      <c r="P81" s="129">
        <v>1979204</v>
      </c>
      <c r="Q81" s="129">
        <v>2347854</v>
      </c>
      <c r="R81" s="129">
        <v>5378233</v>
      </c>
      <c r="S81" s="129">
        <v>735801</v>
      </c>
      <c r="T81" s="129">
        <v>0</v>
      </c>
      <c r="U81" s="128">
        <v>0</v>
      </c>
      <c r="V81" s="129">
        <v>277203</v>
      </c>
      <c r="W81" s="129">
        <v>42847</v>
      </c>
      <c r="X81" s="129">
        <v>71702</v>
      </c>
      <c r="Y81" s="129">
        <v>866696</v>
      </c>
      <c r="Z81" s="129">
        <v>14589266</v>
      </c>
      <c r="AA81" s="129">
        <v>1275046</v>
      </c>
      <c r="AB81" s="129">
        <v>3940147</v>
      </c>
      <c r="AC81" s="129">
        <v>311340</v>
      </c>
      <c r="AD81" s="129">
        <v>796374</v>
      </c>
      <c r="AE81" s="128">
        <v>0</v>
      </c>
      <c r="AF81" s="129">
        <v>0</v>
      </c>
      <c r="AG81" s="128">
        <v>0</v>
      </c>
      <c r="AH81" s="128">
        <v>0</v>
      </c>
      <c r="AI81" s="128">
        <v>0</v>
      </c>
      <c r="AJ81" s="129">
        <v>59541</v>
      </c>
      <c r="AK81" s="129">
        <v>103434</v>
      </c>
      <c r="AL81" s="128">
        <v>0</v>
      </c>
      <c r="AM81" s="128">
        <v>0</v>
      </c>
      <c r="AN81" s="129">
        <v>201736</v>
      </c>
      <c r="AO81" s="129">
        <v>339977</v>
      </c>
      <c r="AP81" s="129">
        <v>115774</v>
      </c>
      <c r="AQ81" s="128">
        <v>0</v>
      </c>
      <c r="AR81" s="129">
        <v>22527</v>
      </c>
      <c r="AS81" s="129">
        <v>47433</v>
      </c>
      <c r="AT81" s="129">
        <v>103629</v>
      </c>
      <c r="AV81" s="123">
        <f t="shared" si="10"/>
        <v>37072119</v>
      </c>
    </row>
    <row r="82" spans="1:48" ht="11.25" customHeight="1" outlineLevel="1">
      <c r="A82" s="12" t="s">
        <v>97</v>
      </c>
      <c r="B82" s="12"/>
      <c r="C82" s="128">
        <v>0</v>
      </c>
      <c r="D82" s="128">
        <v>0</v>
      </c>
      <c r="E82" s="128">
        <v>0</v>
      </c>
      <c r="F82" s="129">
        <v>736738</v>
      </c>
      <c r="G82" s="128">
        <v>0</v>
      </c>
      <c r="H82" s="128">
        <v>0</v>
      </c>
      <c r="I82" s="128">
        <v>0</v>
      </c>
      <c r="J82" s="129">
        <v>3426</v>
      </c>
      <c r="K82" s="129">
        <v>5589</v>
      </c>
      <c r="L82" s="129">
        <v>3847</v>
      </c>
      <c r="M82" s="129">
        <v>5929</v>
      </c>
      <c r="N82" s="129">
        <v>445</v>
      </c>
      <c r="O82" s="129">
        <v>17944</v>
      </c>
      <c r="P82" s="129">
        <v>192484</v>
      </c>
      <c r="Q82" s="129">
        <v>277141</v>
      </c>
      <c r="R82" s="129">
        <v>1358870</v>
      </c>
      <c r="S82" s="129">
        <v>385496</v>
      </c>
      <c r="T82" s="128">
        <v>0</v>
      </c>
      <c r="U82" s="128">
        <v>0</v>
      </c>
      <c r="V82" s="129">
        <v>417970</v>
      </c>
      <c r="W82" s="129">
        <v>64605</v>
      </c>
      <c r="X82" s="128">
        <v>0</v>
      </c>
      <c r="Y82" s="129">
        <v>254964</v>
      </c>
      <c r="Z82" s="129">
        <v>346203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9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9">
        <v>51604</v>
      </c>
      <c r="AV82" s="123">
        <f t="shared" si="10"/>
        <v>4123255</v>
      </c>
    </row>
    <row r="83" spans="1:48" ht="11.25" customHeight="1" outlineLevel="1">
      <c r="A83" s="12" t="s">
        <v>98</v>
      </c>
      <c r="B83" s="12"/>
      <c r="C83" s="128">
        <v>0</v>
      </c>
      <c r="D83" s="128">
        <v>0</v>
      </c>
      <c r="E83" s="128">
        <v>0</v>
      </c>
      <c r="F83" s="129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9">
        <v>42693</v>
      </c>
      <c r="AC83" s="128">
        <v>0</v>
      </c>
      <c r="AD83" s="128">
        <v>0</v>
      </c>
      <c r="AE83" s="128">
        <v>0</v>
      </c>
      <c r="AF83" s="129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8">
        <v>0</v>
      </c>
      <c r="AV83" s="123">
        <f t="shared" si="10"/>
        <v>42693</v>
      </c>
    </row>
    <row r="84" spans="1:48" ht="11.25" customHeight="1" outlineLevel="1">
      <c r="A84" s="6" t="s">
        <v>99</v>
      </c>
      <c r="B84" s="6"/>
      <c r="C84" s="128">
        <v>0</v>
      </c>
      <c r="D84" s="128">
        <v>0</v>
      </c>
      <c r="E84" s="128">
        <v>0</v>
      </c>
      <c r="F84" s="129">
        <v>0</v>
      </c>
      <c r="G84" s="128">
        <v>0</v>
      </c>
      <c r="H84" s="128">
        <v>0</v>
      </c>
      <c r="I84" s="129">
        <v>21511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9">
        <v>7424</v>
      </c>
      <c r="U84" s="129">
        <v>9326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8">
        <v>0</v>
      </c>
      <c r="AB84" s="128">
        <v>0</v>
      </c>
      <c r="AC84" s="128">
        <v>0</v>
      </c>
      <c r="AD84" s="128">
        <v>0</v>
      </c>
      <c r="AE84" s="128">
        <v>0</v>
      </c>
      <c r="AF84" s="129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9">
        <v>49321</v>
      </c>
      <c r="AN84" s="128">
        <v>0</v>
      </c>
      <c r="AO84" s="128">
        <v>0</v>
      </c>
      <c r="AP84" s="128">
        <v>0</v>
      </c>
      <c r="AQ84" s="129">
        <v>2297714</v>
      </c>
      <c r="AR84" s="128">
        <v>0</v>
      </c>
      <c r="AS84" s="128">
        <v>0</v>
      </c>
      <c r="AT84" s="128">
        <v>0</v>
      </c>
      <c r="AV84" s="123">
        <f t="shared" si="10"/>
        <v>2385296</v>
      </c>
    </row>
    <row r="85" spans="1:48" ht="11.25" customHeight="1" outlineLevel="1">
      <c r="A85" s="12" t="s">
        <v>94</v>
      </c>
      <c r="B85" s="12"/>
      <c r="C85" s="128">
        <v>0</v>
      </c>
      <c r="D85" s="128">
        <v>0</v>
      </c>
      <c r="E85" s="129">
        <v>442462</v>
      </c>
      <c r="F85" s="129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28">
        <v>0</v>
      </c>
      <c r="X85" s="128">
        <v>0</v>
      </c>
      <c r="Y85" s="129">
        <v>3179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9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0</v>
      </c>
      <c r="AT85" s="128">
        <v>0</v>
      </c>
      <c r="AV85" s="123">
        <f t="shared" si="10"/>
        <v>445641</v>
      </c>
    </row>
    <row r="86" spans="1:48" ht="11.25" customHeight="1" outlineLevel="1">
      <c r="A86" s="19" t="s">
        <v>100</v>
      </c>
      <c r="B86" s="19"/>
      <c r="C86" s="128">
        <f aca="true" t="shared" si="11" ref="C86:AT86">SUM(C80:C85)</f>
        <v>3938782</v>
      </c>
      <c r="D86" s="128">
        <f t="shared" si="11"/>
        <v>1219157</v>
      </c>
      <c r="E86" s="128">
        <f t="shared" si="11"/>
        <v>442462</v>
      </c>
      <c r="F86" s="128">
        <f t="shared" si="11"/>
        <v>5542041</v>
      </c>
      <c r="G86" s="128">
        <f t="shared" si="11"/>
        <v>679830</v>
      </c>
      <c r="H86" s="128">
        <f t="shared" si="11"/>
        <v>1081158</v>
      </c>
      <c r="I86" s="128">
        <f t="shared" si="11"/>
        <v>21511</v>
      </c>
      <c r="J86" s="128">
        <f t="shared" si="11"/>
        <v>67395</v>
      </c>
      <c r="K86" s="128">
        <f t="shared" si="11"/>
        <v>94680</v>
      </c>
      <c r="L86" s="128">
        <f t="shared" si="11"/>
        <v>55320</v>
      </c>
      <c r="M86" s="128">
        <f t="shared" si="11"/>
        <v>74966</v>
      </c>
      <c r="N86" s="128">
        <f t="shared" si="11"/>
        <v>4994</v>
      </c>
      <c r="O86" s="128">
        <f t="shared" si="11"/>
        <v>341729</v>
      </c>
      <c r="P86" s="128">
        <f t="shared" si="11"/>
        <v>2171688</v>
      </c>
      <c r="Q86" s="128">
        <f t="shared" si="11"/>
        <v>10955526</v>
      </c>
      <c r="R86" s="128">
        <f t="shared" si="11"/>
        <v>31304721</v>
      </c>
      <c r="S86" s="128">
        <f t="shared" si="11"/>
        <v>3049168</v>
      </c>
      <c r="T86" s="128">
        <f t="shared" si="11"/>
        <v>1387611</v>
      </c>
      <c r="U86" s="128">
        <f t="shared" si="11"/>
        <v>9326</v>
      </c>
      <c r="V86" s="128">
        <f t="shared" si="11"/>
        <v>695173</v>
      </c>
      <c r="W86" s="128">
        <f t="shared" si="11"/>
        <v>145332</v>
      </c>
      <c r="X86" s="128">
        <f t="shared" si="11"/>
        <v>107354</v>
      </c>
      <c r="Y86" s="128">
        <f t="shared" si="11"/>
        <v>2065295</v>
      </c>
      <c r="Z86" s="128">
        <f t="shared" si="11"/>
        <v>40888260</v>
      </c>
      <c r="AA86" s="128">
        <f t="shared" si="11"/>
        <v>2754806</v>
      </c>
      <c r="AB86" s="128">
        <f t="shared" si="11"/>
        <v>3991509</v>
      </c>
      <c r="AC86" s="128">
        <f t="shared" si="11"/>
        <v>419210</v>
      </c>
      <c r="AD86" s="128">
        <f t="shared" si="11"/>
        <v>1638590</v>
      </c>
      <c r="AE86" s="128">
        <f t="shared" si="11"/>
        <v>330245</v>
      </c>
      <c r="AF86" s="128">
        <f t="shared" si="11"/>
        <v>99947</v>
      </c>
      <c r="AG86" s="128">
        <f t="shared" si="11"/>
        <v>88076</v>
      </c>
      <c r="AH86" s="128">
        <f t="shared" si="11"/>
        <v>1391277</v>
      </c>
      <c r="AI86" s="128">
        <f t="shared" si="11"/>
        <v>36339</v>
      </c>
      <c r="AJ86" s="128">
        <f t="shared" si="11"/>
        <v>311851</v>
      </c>
      <c r="AK86" s="128">
        <f t="shared" si="11"/>
        <v>589287</v>
      </c>
      <c r="AL86" s="128">
        <f t="shared" si="11"/>
        <v>87160</v>
      </c>
      <c r="AM86" s="128">
        <f t="shared" si="11"/>
        <v>49321</v>
      </c>
      <c r="AN86" s="128">
        <f t="shared" si="11"/>
        <v>8153179</v>
      </c>
      <c r="AO86" s="128">
        <f t="shared" si="11"/>
        <v>5645198</v>
      </c>
      <c r="AP86" s="128">
        <f t="shared" si="11"/>
        <v>3981895</v>
      </c>
      <c r="AQ86" s="128">
        <f t="shared" si="11"/>
        <v>2297714</v>
      </c>
      <c r="AR86" s="128">
        <f t="shared" si="11"/>
        <v>38345</v>
      </c>
      <c r="AS86" s="128">
        <f t="shared" si="11"/>
        <v>122532</v>
      </c>
      <c r="AT86" s="128">
        <f t="shared" si="11"/>
        <v>2209303</v>
      </c>
      <c r="AU86" s="128"/>
      <c r="AV86" s="128">
        <f>SUM(AV80:AV85)</f>
        <v>140579263</v>
      </c>
    </row>
    <row r="87" spans="1:48" ht="11.25" customHeight="1">
      <c r="A87" s="4" t="s">
        <v>101</v>
      </c>
      <c r="B87" s="4"/>
      <c r="C87" s="128">
        <f aca="true" t="shared" si="12" ref="C87:AT87">SUM(C72:C77)+C86+C69</f>
        <v>3938782</v>
      </c>
      <c r="D87" s="128">
        <f t="shared" si="12"/>
        <v>1219157</v>
      </c>
      <c r="E87" s="128">
        <f t="shared" si="12"/>
        <v>442462</v>
      </c>
      <c r="F87" s="128">
        <f t="shared" si="12"/>
        <v>5542041</v>
      </c>
      <c r="G87" s="128">
        <f t="shared" si="12"/>
        <v>679830</v>
      </c>
      <c r="H87" s="128">
        <f t="shared" si="12"/>
        <v>1081158</v>
      </c>
      <c r="I87" s="128">
        <f t="shared" si="12"/>
        <v>21511</v>
      </c>
      <c r="J87" s="128">
        <f t="shared" si="12"/>
        <v>67395</v>
      </c>
      <c r="K87" s="128">
        <f t="shared" si="12"/>
        <v>94680</v>
      </c>
      <c r="L87" s="128">
        <f t="shared" si="12"/>
        <v>55320</v>
      </c>
      <c r="M87" s="128">
        <f t="shared" si="12"/>
        <v>74966</v>
      </c>
      <c r="N87" s="128">
        <f t="shared" si="12"/>
        <v>4994</v>
      </c>
      <c r="O87" s="128">
        <f t="shared" si="12"/>
        <v>341729</v>
      </c>
      <c r="P87" s="128">
        <f t="shared" si="12"/>
        <v>2171688</v>
      </c>
      <c r="Q87" s="128">
        <f t="shared" si="12"/>
        <v>10955526</v>
      </c>
      <c r="R87" s="128">
        <f t="shared" si="12"/>
        <v>31304721</v>
      </c>
      <c r="S87" s="128">
        <f t="shared" si="12"/>
        <v>3049168</v>
      </c>
      <c r="T87" s="128">
        <f t="shared" si="12"/>
        <v>1387611</v>
      </c>
      <c r="U87" s="128">
        <f t="shared" si="12"/>
        <v>9326</v>
      </c>
      <c r="V87" s="128">
        <f t="shared" si="12"/>
        <v>695173</v>
      </c>
      <c r="W87" s="128">
        <f t="shared" si="12"/>
        <v>145332</v>
      </c>
      <c r="X87" s="128">
        <f t="shared" si="12"/>
        <v>107354</v>
      </c>
      <c r="Y87" s="128">
        <f t="shared" si="12"/>
        <v>2067201</v>
      </c>
      <c r="Z87" s="128">
        <f t="shared" si="12"/>
        <v>40888260</v>
      </c>
      <c r="AA87" s="128">
        <f t="shared" si="12"/>
        <v>2754806</v>
      </c>
      <c r="AB87" s="128">
        <f t="shared" si="12"/>
        <v>3991509</v>
      </c>
      <c r="AC87" s="128">
        <f t="shared" si="12"/>
        <v>419210</v>
      </c>
      <c r="AD87" s="128">
        <f t="shared" si="12"/>
        <v>1638590</v>
      </c>
      <c r="AE87" s="128">
        <f t="shared" si="12"/>
        <v>330245</v>
      </c>
      <c r="AF87" s="128">
        <f t="shared" si="12"/>
        <v>99947</v>
      </c>
      <c r="AG87" s="128">
        <f t="shared" si="12"/>
        <v>88076</v>
      </c>
      <c r="AH87" s="128">
        <f t="shared" si="12"/>
        <v>1391277</v>
      </c>
      <c r="AI87" s="128">
        <f t="shared" si="12"/>
        <v>36339</v>
      </c>
      <c r="AJ87" s="128">
        <f t="shared" si="12"/>
        <v>311851</v>
      </c>
      <c r="AK87" s="128">
        <f t="shared" si="12"/>
        <v>589287</v>
      </c>
      <c r="AL87" s="128">
        <f t="shared" si="12"/>
        <v>87160</v>
      </c>
      <c r="AM87" s="128">
        <f t="shared" si="12"/>
        <v>49321</v>
      </c>
      <c r="AN87" s="128">
        <f t="shared" si="12"/>
        <v>8153179</v>
      </c>
      <c r="AO87" s="128">
        <f t="shared" si="12"/>
        <v>5645198</v>
      </c>
      <c r="AP87" s="128">
        <f t="shared" si="12"/>
        <v>3981895</v>
      </c>
      <c r="AQ87" s="128">
        <f t="shared" si="12"/>
        <v>2297714</v>
      </c>
      <c r="AR87" s="128">
        <f t="shared" si="12"/>
        <v>38345</v>
      </c>
      <c r="AS87" s="128">
        <f t="shared" si="12"/>
        <v>122532</v>
      </c>
      <c r="AT87" s="128">
        <f t="shared" si="12"/>
        <v>2209303</v>
      </c>
      <c r="AU87" s="128"/>
      <c r="AV87" s="128">
        <f>SUM(AV72:AV77)+AV86+AV69</f>
        <v>140581169</v>
      </c>
    </row>
    <row r="88" spans="1:48" ht="11.25" customHeight="1">
      <c r="A88" s="4"/>
      <c r="B88" s="4"/>
      <c r="C88" s="128"/>
      <c r="D88" s="128"/>
      <c r="E88" s="129"/>
      <c r="F88" s="12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28"/>
      <c r="AA88" s="128"/>
      <c r="AB88" s="128"/>
      <c r="AC88" s="128"/>
      <c r="AD88" s="128"/>
      <c r="AE88" s="128"/>
      <c r="AF88" s="129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V88" s="123"/>
    </row>
    <row r="89" spans="1:48" ht="11.25" customHeight="1" outlineLevel="1">
      <c r="A89" s="4" t="s">
        <v>102</v>
      </c>
      <c r="B89" s="4"/>
      <c r="C89" s="128"/>
      <c r="D89" s="128"/>
      <c r="E89" s="129"/>
      <c r="F89" s="129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128"/>
      <c r="AA89" s="128"/>
      <c r="AB89" s="128"/>
      <c r="AC89" s="128"/>
      <c r="AD89" s="128"/>
      <c r="AE89" s="128"/>
      <c r="AF89" s="129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V89" s="123"/>
    </row>
    <row r="90" spans="1:48" ht="11.25" customHeight="1" outlineLevel="1">
      <c r="A90" s="6" t="s">
        <v>103</v>
      </c>
      <c r="B90" s="6"/>
      <c r="C90" s="128">
        <v>0</v>
      </c>
      <c r="D90" s="128">
        <v>0</v>
      </c>
      <c r="E90" s="128">
        <v>0</v>
      </c>
      <c r="F90" s="129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9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9">
        <v>143517</v>
      </c>
      <c r="AO90" s="129">
        <v>-71518</v>
      </c>
      <c r="AP90" s="129">
        <v>-37851</v>
      </c>
      <c r="AQ90" s="129">
        <v>-4812</v>
      </c>
      <c r="AR90" s="128">
        <v>0</v>
      </c>
      <c r="AS90" s="128">
        <v>0</v>
      </c>
      <c r="AT90" s="129">
        <v>1834</v>
      </c>
      <c r="AV90" s="123">
        <f>SUM(C90:AT90)</f>
        <v>31170</v>
      </c>
    </row>
    <row r="91" spans="1:48" ht="11.25" customHeight="1" outlineLevel="1">
      <c r="A91" s="6" t="s">
        <v>104</v>
      </c>
      <c r="B91" s="6"/>
      <c r="C91" s="128">
        <v>0</v>
      </c>
      <c r="D91" s="128">
        <v>0</v>
      </c>
      <c r="E91" s="128">
        <v>0</v>
      </c>
      <c r="F91" s="129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9">
        <v>6426</v>
      </c>
      <c r="W91" s="129">
        <v>760</v>
      </c>
      <c r="X91" s="129">
        <v>585</v>
      </c>
      <c r="Y91" s="129">
        <v>9502</v>
      </c>
      <c r="Z91" s="129">
        <v>22986</v>
      </c>
      <c r="AA91" s="129">
        <v>1552</v>
      </c>
      <c r="AB91" s="129">
        <v>2485</v>
      </c>
      <c r="AC91" s="129">
        <v>3440</v>
      </c>
      <c r="AD91" s="129">
        <v>13448</v>
      </c>
      <c r="AE91" s="128">
        <v>0</v>
      </c>
      <c r="AF91" s="129">
        <v>1526</v>
      </c>
      <c r="AG91" s="128">
        <v>0</v>
      </c>
      <c r="AH91" s="129">
        <v>2299</v>
      </c>
      <c r="AI91" s="129">
        <v>180</v>
      </c>
      <c r="AJ91" s="129">
        <v>6961</v>
      </c>
      <c r="AK91" s="128">
        <v>0</v>
      </c>
      <c r="AL91" s="128">
        <v>0</v>
      </c>
      <c r="AM91" s="128">
        <v>0</v>
      </c>
      <c r="AN91" s="129">
        <v>7527</v>
      </c>
      <c r="AO91" s="129">
        <v>3345</v>
      </c>
      <c r="AP91" s="129">
        <v>3501</v>
      </c>
      <c r="AQ91" s="129">
        <v>448</v>
      </c>
      <c r="AR91" s="129">
        <v>613</v>
      </c>
      <c r="AS91" s="129">
        <v>648</v>
      </c>
      <c r="AT91" s="128">
        <v>0</v>
      </c>
      <c r="AV91" s="123">
        <f>SUM(C91:AT91)</f>
        <v>88232</v>
      </c>
    </row>
    <row r="92" spans="1:48" ht="11.25" customHeight="1" outlineLevel="1">
      <c r="A92" s="6" t="s">
        <v>105</v>
      </c>
      <c r="B92" s="6"/>
      <c r="C92" s="129">
        <v>1112</v>
      </c>
      <c r="D92" s="129">
        <v>764</v>
      </c>
      <c r="E92" s="129">
        <v>159</v>
      </c>
      <c r="F92" s="129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9">
        <v>1989</v>
      </c>
      <c r="R92" s="129">
        <v>7840</v>
      </c>
      <c r="S92" s="129">
        <v>1669</v>
      </c>
      <c r="T92" s="129">
        <v>479</v>
      </c>
      <c r="U92" s="129">
        <v>70</v>
      </c>
      <c r="V92" s="129">
        <v>16844</v>
      </c>
      <c r="W92" s="129">
        <v>42362</v>
      </c>
      <c r="X92" s="129">
        <v>23613</v>
      </c>
      <c r="Y92" s="129">
        <v>322</v>
      </c>
      <c r="Z92" s="129">
        <v>6953</v>
      </c>
      <c r="AA92" s="129">
        <v>406</v>
      </c>
      <c r="AB92" s="129">
        <v>2832</v>
      </c>
      <c r="AC92" s="129">
        <v>342</v>
      </c>
      <c r="AD92" s="129">
        <v>1336</v>
      </c>
      <c r="AE92" s="129">
        <v>580</v>
      </c>
      <c r="AF92" s="129">
        <v>0</v>
      </c>
      <c r="AG92" s="128">
        <v>0</v>
      </c>
      <c r="AH92" s="128">
        <v>0</v>
      </c>
      <c r="AI92" s="128">
        <v>0</v>
      </c>
      <c r="AJ92" s="128">
        <v>0</v>
      </c>
      <c r="AK92" s="129">
        <v>536</v>
      </c>
      <c r="AL92" s="129">
        <v>107</v>
      </c>
      <c r="AM92" s="129">
        <v>428</v>
      </c>
      <c r="AN92" s="129">
        <v>25740</v>
      </c>
      <c r="AO92" s="129">
        <v>2219</v>
      </c>
      <c r="AP92" s="129">
        <v>804</v>
      </c>
      <c r="AQ92" s="129">
        <v>1697</v>
      </c>
      <c r="AR92" s="128">
        <v>0</v>
      </c>
      <c r="AS92" s="128">
        <v>0</v>
      </c>
      <c r="AT92" s="129">
        <v>4120</v>
      </c>
      <c r="AV92" s="123">
        <f>SUM(C92:AT92)</f>
        <v>145323</v>
      </c>
    </row>
    <row r="93" spans="1:48" ht="11.25" customHeight="1">
      <c r="A93" s="4" t="s">
        <v>106</v>
      </c>
      <c r="B93" s="4"/>
      <c r="C93" s="129">
        <f aca="true" t="shared" si="13" ref="C93:AT93">SUM(C90:C92)</f>
        <v>1112</v>
      </c>
      <c r="D93" s="129">
        <f t="shared" si="13"/>
        <v>764</v>
      </c>
      <c r="E93" s="129">
        <f t="shared" si="13"/>
        <v>159</v>
      </c>
      <c r="F93" s="129">
        <f t="shared" si="13"/>
        <v>0</v>
      </c>
      <c r="G93" s="129">
        <f t="shared" si="13"/>
        <v>0</v>
      </c>
      <c r="H93" s="129">
        <f t="shared" si="13"/>
        <v>0</v>
      </c>
      <c r="I93" s="129">
        <f t="shared" si="13"/>
        <v>0</v>
      </c>
      <c r="J93" s="129">
        <f t="shared" si="13"/>
        <v>0</v>
      </c>
      <c r="K93" s="129">
        <f t="shared" si="13"/>
        <v>0</v>
      </c>
      <c r="L93" s="129">
        <f t="shared" si="13"/>
        <v>0</v>
      </c>
      <c r="M93" s="129">
        <f t="shared" si="13"/>
        <v>0</v>
      </c>
      <c r="N93" s="129">
        <f t="shared" si="13"/>
        <v>0</v>
      </c>
      <c r="O93" s="129">
        <f t="shared" si="13"/>
        <v>0</v>
      </c>
      <c r="P93" s="129">
        <f t="shared" si="13"/>
        <v>0</v>
      </c>
      <c r="Q93" s="129">
        <f t="shared" si="13"/>
        <v>1989</v>
      </c>
      <c r="R93" s="129">
        <f t="shared" si="13"/>
        <v>7840</v>
      </c>
      <c r="S93" s="129">
        <f t="shared" si="13"/>
        <v>1669</v>
      </c>
      <c r="T93" s="129">
        <f t="shared" si="13"/>
        <v>479</v>
      </c>
      <c r="U93" s="129">
        <f t="shared" si="13"/>
        <v>70</v>
      </c>
      <c r="V93" s="129">
        <f t="shared" si="13"/>
        <v>23270</v>
      </c>
      <c r="W93" s="129">
        <f t="shared" si="13"/>
        <v>43122</v>
      </c>
      <c r="X93" s="129">
        <f t="shared" si="13"/>
        <v>24198</v>
      </c>
      <c r="Y93" s="129">
        <f t="shared" si="13"/>
        <v>9824</v>
      </c>
      <c r="Z93" s="129">
        <f t="shared" si="13"/>
        <v>29939</v>
      </c>
      <c r="AA93" s="129">
        <f t="shared" si="13"/>
        <v>1958</v>
      </c>
      <c r="AB93" s="129">
        <f t="shared" si="13"/>
        <v>5317</v>
      </c>
      <c r="AC93" s="129">
        <f t="shared" si="13"/>
        <v>3782</v>
      </c>
      <c r="AD93" s="129">
        <f t="shared" si="13"/>
        <v>14784</v>
      </c>
      <c r="AE93" s="129">
        <f t="shared" si="13"/>
        <v>580</v>
      </c>
      <c r="AF93" s="129">
        <f t="shared" si="13"/>
        <v>1526</v>
      </c>
      <c r="AG93" s="129">
        <f t="shared" si="13"/>
        <v>0</v>
      </c>
      <c r="AH93" s="129">
        <f t="shared" si="13"/>
        <v>2299</v>
      </c>
      <c r="AI93" s="129">
        <f t="shared" si="13"/>
        <v>180</v>
      </c>
      <c r="AJ93" s="129">
        <f t="shared" si="13"/>
        <v>6961</v>
      </c>
      <c r="AK93" s="129">
        <f t="shared" si="13"/>
        <v>536</v>
      </c>
      <c r="AL93" s="129">
        <f t="shared" si="13"/>
        <v>107</v>
      </c>
      <c r="AM93" s="129">
        <f t="shared" si="13"/>
        <v>428</v>
      </c>
      <c r="AN93" s="129">
        <f t="shared" si="13"/>
        <v>176784</v>
      </c>
      <c r="AO93" s="129">
        <f t="shared" si="13"/>
        <v>-65954</v>
      </c>
      <c r="AP93" s="129">
        <f t="shared" si="13"/>
        <v>-33546</v>
      </c>
      <c r="AQ93" s="129">
        <f t="shared" si="13"/>
        <v>-2667</v>
      </c>
      <c r="AR93" s="129">
        <f t="shared" si="13"/>
        <v>613</v>
      </c>
      <c r="AS93" s="129">
        <f t="shared" si="13"/>
        <v>648</v>
      </c>
      <c r="AT93" s="129">
        <f t="shared" si="13"/>
        <v>5954</v>
      </c>
      <c r="AV93" s="123">
        <f>SUM(AV90:AV92)</f>
        <v>264725</v>
      </c>
    </row>
    <row r="94" spans="1:48" ht="11.25" customHeight="1">
      <c r="A94" s="6"/>
      <c r="B94" s="6"/>
      <c r="C94" s="129"/>
      <c r="D94" s="129"/>
      <c r="E94" s="129"/>
      <c r="F94" s="12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8"/>
      <c r="AH94" s="128"/>
      <c r="AI94" s="128"/>
      <c r="AJ94" s="128"/>
      <c r="AK94" s="129"/>
      <c r="AL94" s="129"/>
      <c r="AM94" s="129"/>
      <c r="AN94" s="129"/>
      <c r="AO94" s="129"/>
      <c r="AP94" s="129"/>
      <c r="AQ94" s="129"/>
      <c r="AR94" s="128"/>
      <c r="AS94" s="128"/>
      <c r="AT94" s="129"/>
      <c r="AV94" s="123"/>
    </row>
    <row r="95" spans="1:48" ht="11.25" customHeight="1" outlineLevel="1">
      <c r="A95" s="4" t="s">
        <v>107</v>
      </c>
      <c r="B95" s="4"/>
      <c r="C95" s="129"/>
      <c r="D95" s="129"/>
      <c r="E95" s="129"/>
      <c r="F95" s="129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8"/>
      <c r="AH95" s="128"/>
      <c r="AI95" s="128"/>
      <c r="AJ95" s="128"/>
      <c r="AK95" s="129"/>
      <c r="AL95" s="129"/>
      <c r="AM95" s="129"/>
      <c r="AN95" s="129"/>
      <c r="AO95" s="129"/>
      <c r="AP95" s="129"/>
      <c r="AQ95" s="129"/>
      <c r="AR95" s="128"/>
      <c r="AS95" s="128"/>
      <c r="AT95" s="129"/>
      <c r="AV95" s="123"/>
    </row>
    <row r="96" spans="1:48" ht="11.25" customHeight="1" outlineLevel="1">
      <c r="A96" s="6" t="s">
        <v>108</v>
      </c>
      <c r="B96" s="6"/>
      <c r="C96" s="128">
        <v>0</v>
      </c>
      <c r="D96" s="128">
        <v>0</v>
      </c>
      <c r="E96" s="128">
        <v>0</v>
      </c>
      <c r="F96" s="129">
        <v>0</v>
      </c>
      <c r="G96" s="128">
        <v>0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0</v>
      </c>
      <c r="X96" s="128">
        <v>0</v>
      </c>
      <c r="Y96" s="129">
        <v>616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9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8">
        <v>0</v>
      </c>
      <c r="AV96" s="123">
        <f>SUM(C96:AT96)</f>
        <v>616</v>
      </c>
    </row>
    <row r="97" spans="1:48" ht="11.25" customHeight="1" outlineLevel="1">
      <c r="A97" s="6" t="s">
        <v>109</v>
      </c>
      <c r="B97" s="6"/>
      <c r="C97" s="129">
        <v>48237</v>
      </c>
      <c r="D97" s="129">
        <v>48770</v>
      </c>
      <c r="E97" s="129">
        <v>5160</v>
      </c>
      <c r="F97" s="129">
        <v>36788</v>
      </c>
      <c r="G97" s="129">
        <v>103021</v>
      </c>
      <c r="H97" s="129">
        <v>87433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9">
        <v>505</v>
      </c>
      <c r="P97" s="129">
        <v>6301</v>
      </c>
      <c r="Q97" s="129">
        <v>83243</v>
      </c>
      <c r="R97" s="129">
        <v>232907</v>
      </c>
      <c r="S97" s="129">
        <v>24364</v>
      </c>
      <c r="T97" s="129">
        <v>4859</v>
      </c>
      <c r="U97" s="128">
        <v>0</v>
      </c>
      <c r="V97" s="129">
        <v>29724</v>
      </c>
      <c r="W97" s="129">
        <v>11392</v>
      </c>
      <c r="X97" s="129">
        <v>10082</v>
      </c>
      <c r="Y97" s="129">
        <v>19760</v>
      </c>
      <c r="Z97" s="129">
        <v>63502</v>
      </c>
      <c r="AA97" s="129">
        <v>14589</v>
      </c>
      <c r="AB97" s="129">
        <v>456680</v>
      </c>
      <c r="AC97" s="128">
        <v>0</v>
      </c>
      <c r="AD97" s="128">
        <v>0</v>
      </c>
      <c r="AE97" s="128">
        <v>0</v>
      </c>
      <c r="AF97" s="129">
        <v>167</v>
      </c>
      <c r="AG97" s="129">
        <v>64</v>
      </c>
      <c r="AH97" s="129">
        <v>125</v>
      </c>
      <c r="AI97" s="129">
        <v>5</v>
      </c>
      <c r="AJ97" s="129">
        <v>4333</v>
      </c>
      <c r="AK97" s="129">
        <v>4672</v>
      </c>
      <c r="AL97" s="129">
        <v>1283</v>
      </c>
      <c r="AM97" s="128">
        <v>0</v>
      </c>
      <c r="AN97" s="129">
        <v>20448</v>
      </c>
      <c r="AO97" s="129">
        <v>3245</v>
      </c>
      <c r="AP97" s="129">
        <v>3068</v>
      </c>
      <c r="AQ97" s="128">
        <v>0</v>
      </c>
      <c r="AR97" s="128">
        <v>0</v>
      </c>
      <c r="AS97" s="128">
        <v>0</v>
      </c>
      <c r="AT97" s="129">
        <v>4876</v>
      </c>
      <c r="AV97" s="123">
        <f>SUM(C97:AT97)</f>
        <v>1329603</v>
      </c>
    </row>
    <row r="98" spans="1:48" ht="11.25" customHeight="1" outlineLevel="1">
      <c r="A98" s="6" t="s">
        <v>110</v>
      </c>
      <c r="B98" s="6"/>
      <c r="C98" s="128">
        <v>0</v>
      </c>
      <c r="D98" s="128">
        <v>0</v>
      </c>
      <c r="E98" s="128">
        <v>0</v>
      </c>
      <c r="F98" s="129">
        <v>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0</v>
      </c>
      <c r="AB98" s="128">
        <v>0</v>
      </c>
      <c r="AC98" s="128">
        <v>0</v>
      </c>
      <c r="AD98" s="128">
        <v>0</v>
      </c>
      <c r="AE98" s="128">
        <v>0</v>
      </c>
      <c r="AF98" s="129">
        <v>0</v>
      </c>
      <c r="AG98" s="128">
        <v>0</v>
      </c>
      <c r="AH98" s="128">
        <v>0</v>
      </c>
      <c r="AI98" s="128">
        <v>0</v>
      </c>
      <c r="AJ98" s="128">
        <v>0</v>
      </c>
      <c r="AK98" s="128">
        <v>0</v>
      </c>
      <c r="AL98" s="128">
        <v>0</v>
      </c>
      <c r="AM98" s="128">
        <v>0</v>
      </c>
      <c r="AN98" s="128">
        <v>0</v>
      </c>
      <c r="AO98" s="128">
        <v>0</v>
      </c>
      <c r="AP98" s="128">
        <v>0</v>
      </c>
      <c r="AQ98" s="128">
        <v>0</v>
      </c>
      <c r="AR98" s="128">
        <v>0</v>
      </c>
      <c r="AS98" s="128">
        <v>0</v>
      </c>
      <c r="AT98" s="128">
        <v>0</v>
      </c>
      <c r="AV98" s="123">
        <f>SUM(C98:AT98)</f>
        <v>0</v>
      </c>
    </row>
    <row r="99" spans="1:48" ht="11.25" customHeight="1">
      <c r="A99" s="4" t="s">
        <v>111</v>
      </c>
      <c r="B99" s="4"/>
      <c r="C99" s="128">
        <f aca="true" t="shared" si="14" ref="C99:AT99">SUM(C96:C98)</f>
        <v>48237</v>
      </c>
      <c r="D99" s="128">
        <f t="shared" si="14"/>
        <v>48770</v>
      </c>
      <c r="E99" s="128">
        <f t="shared" si="14"/>
        <v>5160</v>
      </c>
      <c r="F99" s="128">
        <f t="shared" si="14"/>
        <v>36788</v>
      </c>
      <c r="G99" s="128">
        <f t="shared" si="14"/>
        <v>103021</v>
      </c>
      <c r="H99" s="128">
        <f t="shared" si="14"/>
        <v>87433</v>
      </c>
      <c r="I99" s="128">
        <f t="shared" si="14"/>
        <v>0</v>
      </c>
      <c r="J99" s="128">
        <f t="shared" si="14"/>
        <v>0</v>
      </c>
      <c r="K99" s="128">
        <f t="shared" si="14"/>
        <v>0</v>
      </c>
      <c r="L99" s="128">
        <f t="shared" si="14"/>
        <v>0</v>
      </c>
      <c r="M99" s="128">
        <f t="shared" si="14"/>
        <v>0</v>
      </c>
      <c r="N99" s="128">
        <f t="shared" si="14"/>
        <v>0</v>
      </c>
      <c r="O99" s="128">
        <f t="shared" si="14"/>
        <v>505</v>
      </c>
      <c r="P99" s="128">
        <f t="shared" si="14"/>
        <v>6301</v>
      </c>
      <c r="Q99" s="128">
        <f t="shared" si="14"/>
        <v>83243</v>
      </c>
      <c r="R99" s="128">
        <f t="shared" si="14"/>
        <v>232907</v>
      </c>
      <c r="S99" s="128">
        <f t="shared" si="14"/>
        <v>24364</v>
      </c>
      <c r="T99" s="128">
        <f t="shared" si="14"/>
        <v>4859</v>
      </c>
      <c r="U99" s="128">
        <f t="shared" si="14"/>
        <v>0</v>
      </c>
      <c r="V99" s="128">
        <f t="shared" si="14"/>
        <v>29724</v>
      </c>
      <c r="W99" s="128">
        <f t="shared" si="14"/>
        <v>11392</v>
      </c>
      <c r="X99" s="128">
        <f t="shared" si="14"/>
        <v>10082</v>
      </c>
      <c r="Y99" s="128">
        <f t="shared" si="14"/>
        <v>20376</v>
      </c>
      <c r="Z99" s="128">
        <f t="shared" si="14"/>
        <v>63502</v>
      </c>
      <c r="AA99" s="128">
        <f t="shared" si="14"/>
        <v>14589</v>
      </c>
      <c r="AB99" s="128">
        <f t="shared" si="14"/>
        <v>456680</v>
      </c>
      <c r="AC99" s="128">
        <f t="shared" si="14"/>
        <v>0</v>
      </c>
      <c r="AD99" s="128">
        <f t="shared" si="14"/>
        <v>0</v>
      </c>
      <c r="AE99" s="128">
        <f t="shared" si="14"/>
        <v>0</v>
      </c>
      <c r="AF99" s="128">
        <f t="shared" si="14"/>
        <v>167</v>
      </c>
      <c r="AG99" s="128">
        <f t="shared" si="14"/>
        <v>64</v>
      </c>
      <c r="AH99" s="128">
        <f t="shared" si="14"/>
        <v>125</v>
      </c>
      <c r="AI99" s="128">
        <f t="shared" si="14"/>
        <v>5</v>
      </c>
      <c r="AJ99" s="128">
        <f t="shared" si="14"/>
        <v>4333</v>
      </c>
      <c r="AK99" s="128">
        <f t="shared" si="14"/>
        <v>4672</v>
      </c>
      <c r="AL99" s="128">
        <f t="shared" si="14"/>
        <v>1283</v>
      </c>
      <c r="AM99" s="128">
        <f t="shared" si="14"/>
        <v>0</v>
      </c>
      <c r="AN99" s="128">
        <f t="shared" si="14"/>
        <v>20448</v>
      </c>
      <c r="AO99" s="128">
        <f t="shared" si="14"/>
        <v>3245</v>
      </c>
      <c r="AP99" s="128">
        <f t="shared" si="14"/>
        <v>3068</v>
      </c>
      <c r="AQ99" s="128">
        <f t="shared" si="14"/>
        <v>0</v>
      </c>
      <c r="AR99" s="128">
        <f t="shared" si="14"/>
        <v>0</v>
      </c>
      <c r="AS99" s="128">
        <f t="shared" si="14"/>
        <v>0</v>
      </c>
      <c r="AT99" s="128">
        <f t="shared" si="14"/>
        <v>4876</v>
      </c>
      <c r="AV99" s="123">
        <f>SUM(AV96:AV98)</f>
        <v>1330219</v>
      </c>
    </row>
    <row r="100" spans="1:48" ht="11.25" customHeight="1" outlineLevel="1">
      <c r="A100" s="4"/>
      <c r="B100" s="4"/>
      <c r="C100" s="128"/>
      <c r="D100" s="128"/>
      <c r="E100" s="128"/>
      <c r="F100" s="12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9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V100" s="123"/>
    </row>
    <row r="101" spans="1:48" ht="11.25" customHeight="1" outlineLevel="1">
      <c r="A101" s="4" t="s">
        <v>112</v>
      </c>
      <c r="B101" s="4"/>
      <c r="C101" s="128">
        <v>0</v>
      </c>
      <c r="D101" s="128">
        <v>0</v>
      </c>
      <c r="E101" s="128">
        <v>0</v>
      </c>
      <c r="F101" s="129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  <c r="T101" s="128">
        <v>0</v>
      </c>
      <c r="U101" s="128">
        <v>0</v>
      </c>
      <c r="V101" s="128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128">
        <v>0</v>
      </c>
      <c r="AT101" s="128">
        <v>0</v>
      </c>
      <c r="AV101" s="123">
        <f>SUM(C101:AT101)</f>
        <v>0</v>
      </c>
    </row>
    <row r="102" spans="1:48" ht="11.25" customHeight="1">
      <c r="A102" s="6"/>
      <c r="B102" s="6"/>
      <c r="C102" s="128"/>
      <c r="D102" s="128"/>
      <c r="E102" s="128"/>
      <c r="F102" s="12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V102" s="123"/>
    </row>
    <row r="103" spans="1:49" s="37" customFormat="1" ht="11.25" customHeight="1">
      <c r="A103" s="8" t="s">
        <v>113</v>
      </c>
      <c r="B103" s="8"/>
      <c r="C103" s="128">
        <f aca="true" t="shared" si="15" ref="C103:AT103">+C87+C93+C99</f>
        <v>3988131</v>
      </c>
      <c r="D103" s="128">
        <f t="shared" si="15"/>
        <v>1268691</v>
      </c>
      <c r="E103" s="128">
        <f t="shared" si="15"/>
        <v>447781</v>
      </c>
      <c r="F103" s="128">
        <f t="shared" si="15"/>
        <v>5578829</v>
      </c>
      <c r="G103" s="128">
        <f t="shared" si="15"/>
        <v>782851</v>
      </c>
      <c r="H103" s="128">
        <f t="shared" si="15"/>
        <v>1168591</v>
      </c>
      <c r="I103" s="128">
        <f t="shared" si="15"/>
        <v>21511</v>
      </c>
      <c r="J103" s="128">
        <f t="shared" si="15"/>
        <v>67395</v>
      </c>
      <c r="K103" s="128">
        <f t="shared" si="15"/>
        <v>94680</v>
      </c>
      <c r="L103" s="128">
        <f t="shared" si="15"/>
        <v>55320</v>
      </c>
      <c r="M103" s="128">
        <f t="shared" si="15"/>
        <v>74966</v>
      </c>
      <c r="N103" s="128">
        <f t="shared" si="15"/>
        <v>4994</v>
      </c>
      <c r="O103" s="128">
        <f t="shared" si="15"/>
        <v>342234</v>
      </c>
      <c r="P103" s="128">
        <f t="shared" si="15"/>
        <v>2177989</v>
      </c>
      <c r="Q103" s="128">
        <f t="shared" si="15"/>
        <v>11040758</v>
      </c>
      <c r="R103" s="128">
        <f t="shared" si="15"/>
        <v>31545468</v>
      </c>
      <c r="S103" s="128">
        <f t="shared" si="15"/>
        <v>3075201</v>
      </c>
      <c r="T103" s="128">
        <f t="shared" si="15"/>
        <v>1392949</v>
      </c>
      <c r="U103" s="128">
        <f t="shared" si="15"/>
        <v>9396</v>
      </c>
      <c r="V103" s="128">
        <f t="shared" si="15"/>
        <v>748167</v>
      </c>
      <c r="W103" s="128">
        <f t="shared" si="15"/>
        <v>199846</v>
      </c>
      <c r="X103" s="128">
        <f t="shared" si="15"/>
        <v>141634</v>
      </c>
      <c r="Y103" s="128">
        <f t="shared" si="15"/>
        <v>2097401</v>
      </c>
      <c r="Z103" s="128">
        <f t="shared" si="15"/>
        <v>40981701</v>
      </c>
      <c r="AA103" s="128">
        <f t="shared" si="15"/>
        <v>2771353</v>
      </c>
      <c r="AB103" s="128">
        <f t="shared" si="15"/>
        <v>4453506</v>
      </c>
      <c r="AC103" s="128">
        <f t="shared" si="15"/>
        <v>422992</v>
      </c>
      <c r="AD103" s="128">
        <f t="shared" si="15"/>
        <v>1653374</v>
      </c>
      <c r="AE103" s="128">
        <f t="shared" si="15"/>
        <v>330825</v>
      </c>
      <c r="AF103" s="128">
        <f t="shared" si="15"/>
        <v>101640</v>
      </c>
      <c r="AG103" s="128">
        <f t="shared" si="15"/>
        <v>88140</v>
      </c>
      <c r="AH103" s="128">
        <f t="shared" si="15"/>
        <v>1393701</v>
      </c>
      <c r="AI103" s="128">
        <f t="shared" si="15"/>
        <v>36524</v>
      </c>
      <c r="AJ103" s="128">
        <f t="shared" si="15"/>
        <v>323145</v>
      </c>
      <c r="AK103" s="128">
        <f t="shared" si="15"/>
        <v>594495</v>
      </c>
      <c r="AL103" s="128">
        <f t="shared" si="15"/>
        <v>88550</v>
      </c>
      <c r="AM103" s="128">
        <f t="shared" si="15"/>
        <v>49749</v>
      </c>
      <c r="AN103" s="128">
        <f t="shared" si="15"/>
        <v>8350411</v>
      </c>
      <c r="AO103" s="128">
        <f t="shared" si="15"/>
        <v>5582489</v>
      </c>
      <c r="AP103" s="128">
        <f t="shared" si="15"/>
        <v>3951417</v>
      </c>
      <c r="AQ103" s="128">
        <f t="shared" si="15"/>
        <v>2295047</v>
      </c>
      <c r="AR103" s="128">
        <f t="shared" si="15"/>
        <v>38958</v>
      </c>
      <c r="AS103" s="128">
        <f t="shared" si="15"/>
        <v>123180</v>
      </c>
      <c r="AT103" s="128">
        <f t="shared" si="15"/>
        <v>2220133</v>
      </c>
      <c r="AU103" s="128"/>
      <c r="AV103" s="128">
        <f>+AV87+AV93+AV99</f>
        <v>142176113</v>
      </c>
      <c r="AW103" s="11"/>
    </row>
    <row r="104" spans="1:48" ht="11.25" customHeight="1">
      <c r="A104" s="6"/>
      <c r="B104" s="6"/>
      <c r="C104" s="128"/>
      <c r="D104" s="128"/>
      <c r="E104" s="128"/>
      <c r="F104" s="12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V104" s="123"/>
    </row>
    <row r="105" spans="1:48" ht="11.25" customHeight="1">
      <c r="A105" s="20" t="s">
        <v>114</v>
      </c>
      <c r="B105" s="20"/>
      <c r="C105" s="128"/>
      <c r="D105" s="128"/>
      <c r="E105" s="128"/>
      <c r="F105" s="12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V105" s="123"/>
    </row>
    <row r="106" spans="1:48" ht="11.25" customHeight="1">
      <c r="A106" s="6"/>
      <c r="B106" s="6"/>
      <c r="C106" s="128"/>
      <c r="D106" s="128"/>
      <c r="E106" s="128"/>
      <c r="F106" s="129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V106" s="123"/>
    </row>
    <row r="107" spans="1:48" ht="11.25" customHeight="1" outlineLevel="1">
      <c r="A107" s="4" t="s">
        <v>115</v>
      </c>
      <c r="B107" s="4"/>
      <c r="C107" s="128">
        <v>0</v>
      </c>
      <c r="D107" s="128">
        <v>0</v>
      </c>
      <c r="E107" s="128">
        <v>0</v>
      </c>
      <c r="F107" s="129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  <c r="O107" s="128">
        <v>0</v>
      </c>
      <c r="P107" s="128">
        <v>0</v>
      </c>
      <c r="Q107" s="128">
        <v>0</v>
      </c>
      <c r="R107" s="128">
        <v>0</v>
      </c>
      <c r="S107" s="128">
        <v>0</v>
      </c>
      <c r="T107" s="128">
        <v>0</v>
      </c>
      <c r="U107" s="128">
        <v>0</v>
      </c>
      <c r="V107" s="128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9">
        <v>0</v>
      </c>
      <c r="AG107" s="128">
        <v>0</v>
      </c>
      <c r="AH107" s="129">
        <v>-6654</v>
      </c>
      <c r="AI107" s="129">
        <v>-1096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128">
        <v>0</v>
      </c>
      <c r="AT107" s="128">
        <v>0</v>
      </c>
      <c r="AV107" s="123">
        <f>SUM(C107:AT107)</f>
        <v>-7750</v>
      </c>
    </row>
    <row r="108" spans="1:48" ht="11.25" customHeight="1" outlineLevel="1">
      <c r="A108" s="6"/>
      <c r="B108" s="6"/>
      <c r="C108" s="128"/>
      <c r="D108" s="128"/>
      <c r="E108" s="128"/>
      <c r="F108" s="129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9"/>
      <c r="AG108" s="128"/>
      <c r="AH108" s="129"/>
      <c r="AI108" s="129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V108" s="123"/>
    </row>
    <row r="109" spans="1:48" ht="11.25" customHeight="1" outlineLevel="1">
      <c r="A109" s="6" t="s">
        <v>301</v>
      </c>
      <c r="B109" s="6"/>
      <c r="C109" s="128"/>
      <c r="D109" s="128"/>
      <c r="E109" s="128"/>
      <c r="F109" s="129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8"/>
      <c r="AH109" s="129"/>
      <c r="AI109" s="129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V109" s="123"/>
    </row>
    <row r="110" spans="1:48" ht="11.25" customHeight="1" outlineLevel="1">
      <c r="A110" s="6" t="s">
        <v>117</v>
      </c>
      <c r="B110" s="6"/>
      <c r="C110" s="128">
        <v>0</v>
      </c>
      <c r="D110" s="128">
        <v>0</v>
      </c>
      <c r="E110" s="128">
        <v>0</v>
      </c>
      <c r="F110" s="129">
        <v>0</v>
      </c>
      <c r="G110" s="129">
        <v>-10653</v>
      </c>
      <c r="H110" s="129">
        <v>-2550</v>
      </c>
      <c r="I110" s="129">
        <v>-167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128">
        <v>0</v>
      </c>
      <c r="R110" s="128">
        <v>0</v>
      </c>
      <c r="S110" s="128">
        <v>0</v>
      </c>
      <c r="T110" s="128">
        <v>0</v>
      </c>
      <c r="U110" s="128">
        <v>0</v>
      </c>
      <c r="V110" s="128">
        <v>0</v>
      </c>
      <c r="W110" s="128">
        <v>0</v>
      </c>
      <c r="X110" s="128">
        <v>0</v>
      </c>
      <c r="Y110" s="128">
        <v>0</v>
      </c>
      <c r="Z110" s="128">
        <v>0</v>
      </c>
      <c r="AA110" s="128">
        <v>0</v>
      </c>
      <c r="AB110" s="128">
        <v>0</v>
      </c>
      <c r="AC110" s="128">
        <v>0</v>
      </c>
      <c r="AD110" s="128">
        <v>0</v>
      </c>
      <c r="AE110" s="128">
        <v>0</v>
      </c>
      <c r="AF110" s="129">
        <v>0</v>
      </c>
      <c r="AG110" s="128">
        <v>0</v>
      </c>
      <c r="AH110" s="128">
        <v>0</v>
      </c>
      <c r="AI110" s="128">
        <v>0</v>
      </c>
      <c r="AJ110" s="128">
        <v>0</v>
      </c>
      <c r="AK110" s="128">
        <v>0</v>
      </c>
      <c r="AL110" s="128">
        <v>0</v>
      </c>
      <c r="AM110" s="128">
        <v>0</v>
      </c>
      <c r="AN110" s="128">
        <v>0</v>
      </c>
      <c r="AO110" s="128">
        <v>0</v>
      </c>
      <c r="AP110" s="128">
        <v>0</v>
      </c>
      <c r="AQ110" s="128">
        <v>0</v>
      </c>
      <c r="AR110" s="128">
        <v>0</v>
      </c>
      <c r="AS110" s="128">
        <v>0</v>
      </c>
      <c r="AT110" s="128">
        <v>0</v>
      </c>
      <c r="AV110" s="123">
        <f>SUM(C110:AT110)</f>
        <v>-13370</v>
      </c>
    </row>
    <row r="111" spans="1:48" ht="11.25" customHeight="1" outlineLevel="1">
      <c r="A111" s="6" t="s">
        <v>118</v>
      </c>
      <c r="B111" s="6"/>
      <c r="C111" s="128">
        <v>0</v>
      </c>
      <c r="D111" s="128">
        <v>0</v>
      </c>
      <c r="E111" s="128">
        <v>0</v>
      </c>
      <c r="F111" s="129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  <c r="O111" s="128">
        <v>0</v>
      </c>
      <c r="P111" s="128">
        <v>0</v>
      </c>
      <c r="Q111" s="128">
        <v>0</v>
      </c>
      <c r="R111" s="128">
        <v>0</v>
      </c>
      <c r="S111" s="128">
        <v>0</v>
      </c>
      <c r="T111" s="128">
        <v>0</v>
      </c>
      <c r="U111" s="128">
        <v>0</v>
      </c>
      <c r="V111" s="128">
        <v>0</v>
      </c>
      <c r="W111" s="128">
        <v>0</v>
      </c>
      <c r="X111" s="128">
        <v>0</v>
      </c>
      <c r="Y111" s="128">
        <v>0</v>
      </c>
      <c r="Z111" s="128">
        <v>0</v>
      </c>
      <c r="AA111" s="128">
        <v>0</v>
      </c>
      <c r="AB111" s="128">
        <v>0</v>
      </c>
      <c r="AC111" s="128">
        <v>0</v>
      </c>
      <c r="AD111" s="128">
        <v>0</v>
      </c>
      <c r="AE111" s="128">
        <v>0</v>
      </c>
      <c r="AF111" s="129">
        <v>0</v>
      </c>
      <c r="AG111" s="128">
        <v>0</v>
      </c>
      <c r="AH111" s="128">
        <v>0</v>
      </c>
      <c r="AI111" s="128">
        <v>0</v>
      </c>
      <c r="AJ111" s="128">
        <v>0</v>
      </c>
      <c r="AK111" s="128">
        <v>0</v>
      </c>
      <c r="AL111" s="128">
        <v>0</v>
      </c>
      <c r="AM111" s="128">
        <v>0</v>
      </c>
      <c r="AN111" s="129">
        <v>17359</v>
      </c>
      <c r="AO111" s="129">
        <v>8110</v>
      </c>
      <c r="AP111" s="129">
        <v>6175</v>
      </c>
      <c r="AQ111" s="128">
        <v>0</v>
      </c>
      <c r="AR111" s="128">
        <v>0</v>
      </c>
      <c r="AS111" s="128">
        <v>0</v>
      </c>
      <c r="AT111" s="128">
        <v>0</v>
      </c>
      <c r="AV111" s="123">
        <f>SUM(C111:AT111)</f>
        <v>31644</v>
      </c>
    </row>
    <row r="112" spans="1:48" ht="11.25" customHeight="1" outlineLevel="1">
      <c r="A112" s="6" t="s">
        <v>119</v>
      </c>
      <c r="B112" s="6"/>
      <c r="C112" s="128">
        <v>0</v>
      </c>
      <c r="D112" s="128">
        <v>0</v>
      </c>
      <c r="E112" s="128">
        <v>0</v>
      </c>
      <c r="F112" s="129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0</v>
      </c>
      <c r="W112" s="128">
        <v>0</v>
      </c>
      <c r="X112" s="128">
        <v>0</v>
      </c>
      <c r="Y112" s="128">
        <v>0</v>
      </c>
      <c r="Z112" s="128">
        <v>0</v>
      </c>
      <c r="AA112" s="128">
        <v>0</v>
      </c>
      <c r="AB112" s="128">
        <v>0</v>
      </c>
      <c r="AC112" s="128">
        <v>0</v>
      </c>
      <c r="AD112" s="128">
        <v>0</v>
      </c>
      <c r="AE112" s="128">
        <v>0</v>
      </c>
      <c r="AF112" s="129">
        <v>0</v>
      </c>
      <c r="AG112" s="128">
        <v>0</v>
      </c>
      <c r="AH112" s="128">
        <v>0</v>
      </c>
      <c r="AI112" s="128">
        <v>0</v>
      </c>
      <c r="AJ112" s="128">
        <v>0</v>
      </c>
      <c r="AK112" s="128">
        <v>0</v>
      </c>
      <c r="AL112" s="128">
        <v>0</v>
      </c>
      <c r="AM112" s="128">
        <v>0</v>
      </c>
      <c r="AN112" s="128">
        <v>0</v>
      </c>
      <c r="AO112" s="128">
        <v>0</v>
      </c>
      <c r="AP112" s="128">
        <v>0</v>
      </c>
      <c r="AQ112" s="128">
        <v>0</v>
      </c>
      <c r="AR112" s="128">
        <v>0</v>
      </c>
      <c r="AS112" s="128">
        <v>0</v>
      </c>
      <c r="AT112" s="128">
        <v>0</v>
      </c>
      <c r="AV112" s="123">
        <f>SUM(C112:AT112)</f>
        <v>0</v>
      </c>
    </row>
    <row r="113" spans="1:48" ht="11.25" customHeight="1" outlineLevel="1">
      <c r="A113" s="6" t="s">
        <v>120</v>
      </c>
      <c r="B113" s="6"/>
      <c r="C113" s="129">
        <v>21613</v>
      </c>
      <c r="D113" s="129">
        <v>5644</v>
      </c>
      <c r="E113" s="129">
        <v>2926</v>
      </c>
      <c r="F113" s="129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v>0</v>
      </c>
      <c r="N113" s="128">
        <v>0</v>
      </c>
      <c r="O113" s="128">
        <v>0</v>
      </c>
      <c r="P113" s="129">
        <v>2157</v>
      </c>
      <c r="Q113" s="129">
        <v>8316</v>
      </c>
      <c r="R113" s="129">
        <v>30611</v>
      </c>
      <c r="S113" s="129">
        <v>5784</v>
      </c>
      <c r="T113" s="129">
        <v>694</v>
      </c>
      <c r="U113" s="128">
        <v>0</v>
      </c>
      <c r="V113" s="128">
        <v>0</v>
      </c>
      <c r="W113" s="128">
        <v>0</v>
      </c>
      <c r="X113" s="128">
        <v>0</v>
      </c>
      <c r="Y113" s="129">
        <v>11782</v>
      </c>
      <c r="Z113" s="129">
        <v>48894</v>
      </c>
      <c r="AA113" s="129">
        <v>7771</v>
      </c>
      <c r="AB113" s="129">
        <v>27604</v>
      </c>
      <c r="AC113" s="128">
        <v>0</v>
      </c>
      <c r="AD113" s="128">
        <v>0</v>
      </c>
      <c r="AE113" s="129">
        <v>537</v>
      </c>
      <c r="AF113" s="129">
        <v>0</v>
      </c>
      <c r="AG113" s="129">
        <v>1503</v>
      </c>
      <c r="AH113" s="128">
        <v>0</v>
      </c>
      <c r="AI113" s="128">
        <v>0</v>
      </c>
      <c r="AJ113" s="128">
        <v>0</v>
      </c>
      <c r="AK113" s="129">
        <v>5577</v>
      </c>
      <c r="AL113" s="129">
        <v>219</v>
      </c>
      <c r="AM113" s="129">
        <v>-82</v>
      </c>
      <c r="AN113" s="129">
        <v>19351</v>
      </c>
      <c r="AO113" s="129">
        <v>31036</v>
      </c>
      <c r="AP113" s="129">
        <v>18175</v>
      </c>
      <c r="AQ113" s="129">
        <v>15283</v>
      </c>
      <c r="AR113" s="128">
        <v>0</v>
      </c>
      <c r="AS113" s="128">
        <v>0</v>
      </c>
      <c r="AT113" s="129">
        <v>1074</v>
      </c>
      <c r="AV113" s="123">
        <f>SUM(C113:AT113)</f>
        <v>266469</v>
      </c>
    </row>
    <row r="114" spans="1:48" ht="11.25" customHeight="1">
      <c r="A114" s="4" t="s">
        <v>121</v>
      </c>
      <c r="B114" s="4"/>
      <c r="C114" s="129">
        <f aca="true" t="shared" si="16" ref="C114:AT114">SUM(C110:C113)</f>
        <v>21613</v>
      </c>
      <c r="D114" s="129">
        <f t="shared" si="16"/>
        <v>5644</v>
      </c>
      <c r="E114" s="129">
        <f t="shared" si="16"/>
        <v>2926</v>
      </c>
      <c r="F114" s="129">
        <f t="shared" si="16"/>
        <v>0</v>
      </c>
      <c r="G114" s="129">
        <f t="shared" si="16"/>
        <v>-10653</v>
      </c>
      <c r="H114" s="129">
        <f t="shared" si="16"/>
        <v>-2550</v>
      </c>
      <c r="I114" s="129">
        <f t="shared" si="16"/>
        <v>-167</v>
      </c>
      <c r="J114" s="129">
        <f t="shared" si="16"/>
        <v>0</v>
      </c>
      <c r="K114" s="129">
        <f t="shared" si="16"/>
        <v>0</v>
      </c>
      <c r="L114" s="129">
        <f t="shared" si="16"/>
        <v>0</v>
      </c>
      <c r="M114" s="129">
        <f t="shared" si="16"/>
        <v>0</v>
      </c>
      <c r="N114" s="129">
        <f t="shared" si="16"/>
        <v>0</v>
      </c>
      <c r="O114" s="129">
        <f t="shared" si="16"/>
        <v>0</v>
      </c>
      <c r="P114" s="129">
        <f t="shared" si="16"/>
        <v>2157</v>
      </c>
      <c r="Q114" s="129">
        <f t="shared" si="16"/>
        <v>8316</v>
      </c>
      <c r="R114" s="129">
        <f t="shared" si="16"/>
        <v>30611</v>
      </c>
      <c r="S114" s="129">
        <f t="shared" si="16"/>
        <v>5784</v>
      </c>
      <c r="T114" s="129">
        <f t="shared" si="16"/>
        <v>694</v>
      </c>
      <c r="U114" s="129">
        <f t="shared" si="16"/>
        <v>0</v>
      </c>
      <c r="V114" s="129">
        <f t="shared" si="16"/>
        <v>0</v>
      </c>
      <c r="W114" s="129">
        <f t="shared" si="16"/>
        <v>0</v>
      </c>
      <c r="X114" s="129">
        <f t="shared" si="16"/>
        <v>0</v>
      </c>
      <c r="Y114" s="129">
        <f t="shared" si="16"/>
        <v>11782</v>
      </c>
      <c r="Z114" s="129">
        <f t="shared" si="16"/>
        <v>48894</v>
      </c>
      <c r="AA114" s="129">
        <f t="shared" si="16"/>
        <v>7771</v>
      </c>
      <c r="AB114" s="129">
        <f t="shared" si="16"/>
        <v>27604</v>
      </c>
      <c r="AC114" s="129">
        <f t="shared" si="16"/>
        <v>0</v>
      </c>
      <c r="AD114" s="129">
        <f t="shared" si="16"/>
        <v>0</v>
      </c>
      <c r="AE114" s="129">
        <f t="shared" si="16"/>
        <v>537</v>
      </c>
      <c r="AF114" s="129">
        <f t="shared" si="16"/>
        <v>0</v>
      </c>
      <c r="AG114" s="129">
        <f t="shared" si="16"/>
        <v>1503</v>
      </c>
      <c r="AH114" s="129">
        <f t="shared" si="16"/>
        <v>0</v>
      </c>
      <c r="AI114" s="129">
        <f t="shared" si="16"/>
        <v>0</v>
      </c>
      <c r="AJ114" s="129">
        <f t="shared" si="16"/>
        <v>0</v>
      </c>
      <c r="AK114" s="129">
        <f t="shared" si="16"/>
        <v>5577</v>
      </c>
      <c r="AL114" s="129">
        <f t="shared" si="16"/>
        <v>219</v>
      </c>
      <c r="AM114" s="129">
        <f t="shared" si="16"/>
        <v>-82</v>
      </c>
      <c r="AN114" s="129">
        <f t="shared" si="16"/>
        <v>36710</v>
      </c>
      <c r="AO114" s="129">
        <f t="shared" si="16"/>
        <v>39146</v>
      </c>
      <c r="AP114" s="129">
        <f t="shared" si="16"/>
        <v>24350</v>
      </c>
      <c r="AQ114" s="129">
        <f t="shared" si="16"/>
        <v>15283</v>
      </c>
      <c r="AR114" s="129">
        <f t="shared" si="16"/>
        <v>0</v>
      </c>
      <c r="AS114" s="129">
        <f t="shared" si="16"/>
        <v>0</v>
      </c>
      <c r="AT114" s="129">
        <f t="shared" si="16"/>
        <v>1074</v>
      </c>
      <c r="AV114" s="123">
        <f>SUM(AV110:AV113)</f>
        <v>284743</v>
      </c>
    </row>
    <row r="115" spans="1:48" ht="11.25" customHeight="1">
      <c r="A115" s="4"/>
      <c r="B115" s="4"/>
      <c r="C115" s="129"/>
      <c r="D115" s="129"/>
      <c r="E115" s="129"/>
      <c r="F115" s="129"/>
      <c r="G115" s="128"/>
      <c r="H115" s="128"/>
      <c r="I115" s="128"/>
      <c r="J115" s="128"/>
      <c r="K115" s="128"/>
      <c r="L115" s="128"/>
      <c r="M115" s="128"/>
      <c r="N115" s="128"/>
      <c r="O115" s="128"/>
      <c r="P115" s="129"/>
      <c r="Q115" s="129"/>
      <c r="R115" s="129"/>
      <c r="S115" s="129"/>
      <c r="T115" s="129"/>
      <c r="U115" s="128"/>
      <c r="V115" s="128"/>
      <c r="W115" s="128"/>
      <c r="X115" s="128"/>
      <c r="Y115" s="129"/>
      <c r="Z115" s="129"/>
      <c r="AA115" s="129"/>
      <c r="AB115" s="129"/>
      <c r="AC115" s="128"/>
      <c r="AD115" s="128"/>
      <c r="AE115" s="129"/>
      <c r="AF115" s="129"/>
      <c r="AG115" s="129"/>
      <c r="AH115" s="128"/>
      <c r="AI115" s="128"/>
      <c r="AJ115" s="128"/>
      <c r="AK115" s="129"/>
      <c r="AL115" s="129"/>
      <c r="AM115" s="129"/>
      <c r="AN115" s="129"/>
      <c r="AO115" s="129"/>
      <c r="AP115" s="129"/>
      <c r="AQ115" s="129"/>
      <c r="AR115" s="128"/>
      <c r="AS115" s="128"/>
      <c r="AT115" s="129"/>
      <c r="AV115" s="123"/>
    </row>
    <row r="116" spans="1:48" ht="11.25" customHeight="1">
      <c r="A116" s="4" t="s">
        <v>122</v>
      </c>
      <c r="B116" s="4"/>
      <c r="C116" s="128">
        <v>0</v>
      </c>
      <c r="D116" s="128">
        <v>0</v>
      </c>
      <c r="E116" s="128">
        <v>0</v>
      </c>
      <c r="F116" s="129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0</v>
      </c>
      <c r="Q116" s="128">
        <v>0</v>
      </c>
      <c r="R116" s="128">
        <v>0</v>
      </c>
      <c r="S116" s="128">
        <v>0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0</v>
      </c>
      <c r="Z116" s="128">
        <v>0</v>
      </c>
      <c r="AA116" s="128">
        <v>0</v>
      </c>
      <c r="AB116" s="128">
        <v>0</v>
      </c>
      <c r="AC116" s="128">
        <v>0</v>
      </c>
      <c r="AD116" s="128">
        <v>0</v>
      </c>
      <c r="AE116" s="128">
        <v>0</v>
      </c>
      <c r="AF116" s="128">
        <v>0</v>
      </c>
      <c r="AG116" s="128">
        <v>0</v>
      </c>
      <c r="AH116" s="128">
        <v>0</v>
      </c>
      <c r="AI116" s="128">
        <v>0</v>
      </c>
      <c r="AJ116" s="128">
        <v>0</v>
      </c>
      <c r="AK116" s="128">
        <v>0</v>
      </c>
      <c r="AL116" s="128">
        <v>0</v>
      </c>
      <c r="AM116" s="128">
        <v>0</v>
      </c>
      <c r="AN116" s="129">
        <v>2691</v>
      </c>
      <c r="AO116" s="128">
        <v>0</v>
      </c>
      <c r="AP116" s="128">
        <v>0</v>
      </c>
      <c r="AQ116" s="128">
        <v>0</v>
      </c>
      <c r="AR116" s="128">
        <v>0</v>
      </c>
      <c r="AS116" s="128">
        <v>0</v>
      </c>
      <c r="AT116" s="128">
        <v>0</v>
      </c>
      <c r="AV116" s="123">
        <f>SUM(C116:AT116)</f>
        <v>2691</v>
      </c>
    </row>
    <row r="117" spans="1:48" ht="11.25" customHeight="1">
      <c r="A117" s="4"/>
      <c r="B117" s="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37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V117" s="123"/>
    </row>
    <row r="118" spans="1:49" s="37" customFormat="1" ht="11.25" customHeight="1">
      <c r="A118" s="8" t="s">
        <v>123</v>
      </c>
      <c r="B118" s="8"/>
      <c r="C118" s="130">
        <f aca="true" t="shared" si="17" ref="C118:AT118">+C116+C114+C107</f>
        <v>21613</v>
      </c>
      <c r="D118" s="130">
        <f t="shared" si="17"/>
        <v>5644</v>
      </c>
      <c r="E118" s="130">
        <f t="shared" si="17"/>
        <v>2926</v>
      </c>
      <c r="F118" s="130">
        <f t="shared" si="17"/>
        <v>0</v>
      </c>
      <c r="G118" s="130">
        <f t="shared" si="17"/>
        <v>-10653</v>
      </c>
      <c r="H118" s="130">
        <f t="shared" si="17"/>
        <v>-2550</v>
      </c>
      <c r="I118" s="130">
        <f t="shared" si="17"/>
        <v>-167</v>
      </c>
      <c r="J118" s="130">
        <f t="shared" si="17"/>
        <v>0</v>
      </c>
      <c r="K118" s="130">
        <f t="shared" si="17"/>
        <v>0</v>
      </c>
      <c r="L118" s="130">
        <f t="shared" si="17"/>
        <v>0</v>
      </c>
      <c r="M118" s="130">
        <f t="shared" si="17"/>
        <v>0</v>
      </c>
      <c r="N118" s="130">
        <f t="shared" si="17"/>
        <v>0</v>
      </c>
      <c r="O118" s="130">
        <f t="shared" si="17"/>
        <v>0</v>
      </c>
      <c r="P118" s="130">
        <f t="shared" si="17"/>
        <v>2157</v>
      </c>
      <c r="Q118" s="130">
        <f t="shared" si="17"/>
        <v>8316</v>
      </c>
      <c r="R118" s="130">
        <f t="shared" si="17"/>
        <v>30611</v>
      </c>
      <c r="S118" s="130">
        <f t="shared" si="17"/>
        <v>5784</v>
      </c>
      <c r="T118" s="130">
        <f t="shared" si="17"/>
        <v>694</v>
      </c>
      <c r="U118" s="130">
        <f t="shared" si="17"/>
        <v>0</v>
      </c>
      <c r="V118" s="130">
        <f t="shared" si="17"/>
        <v>0</v>
      </c>
      <c r="W118" s="130">
        <f t="shared" si="17"/>
        <v>0</v>
      </c>
      <c r="X118" s="130">
        <f t="shared" si="17"/>
        <v>0</v>
      </c>
      <c r="Y118" s="130">
        <f t="shared" si="17"/>
        <v>11782</v>
      </c>
      <c r="Z118" s="130">
        <f t="shared" si="17"/>
        <v>48894</v>
      </c>
      <c r="AA118" s="130">
        <f t="shared" si="17"/>
        <v>7771</v>
      </c>
      <c r="AB118" s="130">
        <f t="shared" si="17"/>
        <v>27604</v>
      </c>
      <c r="AC118" s="130">
        <f t="shared" si="17"/>
        <v>0</v>
      </c>
      <c r="AD118" s="130">
        <f t="shared" si="17"/>
        <v>0</v>
      </c>
      <c r="AE118" s="130">
        <f t="shared" si="17"/>
        <v>537</v>
      </c>
      <c r="AF118" s="130">
        <f t="shared" si="17"/>
        <v>0</v>
      </c>
      <c r="AG118" s="130">
        <f t="shared" si="17"/>
        <v>1503</v>
      </c>
      <c r="AH118" s="130">
        <f t="shared" si="17"/>
        <v>-6654</v>
      </c>
      <c r="AI118" s="130">
        <f t="shared" si="17"/>
        <v>-1096</v>
      </c>
      <c r="AJ118" s="130">
        <f t="shared" si="17"/>
        <v>0</v>
      </c>
      <c r="AK118" s="130">
        <f t="shared" si="17"/>
        <v>5577</v>
      </c>
      <c r="AL118" s="130">
        <f t="shared" si="17"/>
        <v>219</v>
      </c>
      <c r="AM118" s="130">
        <f t="shared" si="17"/>
        <v>-82</v>
      </c>
      <c r="AN118" s="130">
        <f t="shared" si="17"/>
        <v>39401</v>
      </c>
      <c r="AO118" s="130">
        <f t="shared" si="17"/>
        <v>39146</v>
      </c>
      <c r="AP118" s="130">
        <f t="shared" si="17"/>
        <v>24350</v>
      </c>
      <c r="AQ118" s="130">
        <f t="shared" si="17"/>
        <v>15283</v>
      </c>
      <c r="AR118" s="130">
        <f t="shared" si="17"/>
        <v>0</v>
      </c>
      <c r="AS118" s="130">
        <f t="shared" si="17"/>
        <v>0</v>
      </c>
      <c r="AT118" s="130">
        <f t="shared" si="17"/>
        <v>1074</v>
      </c>
      <c r="AU118" s="130"/>
      <c r="AV118" s="130">
        <f>+AV116+AV114+AV107</f>
        <v>279684</v>
      </c>
      <c r="AW118" s="11"/>
    </row>
    <row r="119" spans="1:48" ht="11.25" customHeight="1">
      <c r="A119" s="7"/>
      <c r="B119" s="7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V119" s="123"/>
    </row>
    <row r="120" spans="1:49" s="37" customFormat="1" ht="11.25" customHeight="1">
      <c r="A120" s="8" t="s">
        <v>297</v>
      </c>
      <c r="B120" s="8"/>
      <c r="C120" s="37">
        <f aca="true" t="shared" si="18" ref="C120:AT120">+C103-C118</f>
        <v>3966518</v>
      </c>
      <c r="D120" s="37">
        <f t="shared" si="18"/>
        <v>1263047</v>
      </c>
      <c r="E120" s="37">
        <f t="shared" si="18"/>
        <v>444855</v>
      </c>
      <c r="F120" s="37">
        <f t="shared" si="18"/>
        <v>5578829</v>
      </c>
      <c r="G120" s="37">
        <f t="shared" si="18"/>
        <v>793504</v>
      </c>
      <c r="H120" s="37">
        <f t="shared" si="18"/>
        <v>1171141</v>
      </c>
      <c r="I120" s="37">
        <f t="shared" si="18"/>
        <v>21678</v>
      </c>
      <c r="J120" s="37">
        <f t="shared" si="18"/>
        <v>67395</v>
      </c>
      <c r="K120" s="37">
        <f t="shared" si="18"/>
        <v>94680</v>
      </c>
      <c r="L120" s="37">
        <f t="shared" si="18"/>
        <v>55320</v>
      </c>
      <c r="M120" s="37">
        <f t="shared" si="18"/>
        <v>74966</v>
      </c>
      <c r="N120" s="37">
        <f t="shared" si="18"/>
        <v>4994</v>
      </c>
      <c r="O120" s="37">
        <f t="shared" si="18"/>
        <v>342234</v>
      </c>
      <c r="P120" s="37">
        <f t="shared" si="18"/>
        <v>2175832</v>
      </c>
      <c r="Q120" s="37">
        <f t="shared" si="18"/>
        <v>11032442</v>
      </c>
      <c r="R120" s="37">
        <f t="shared" si="18"/>
        <v>31514857</v>
      </c>
      <c r="S120" s="37">
        <f t="shared" si="18"/>
        <v>3069417</v>
      </c>
      <c r="T120" s="37">
        <f t="shared" si="18"/>
        <v>1392255</v>
      </c>
      <c r="U120" s="37">
        <f t="shared" si="18"/>
        <v>9396</v>
      </c>
      <c r="V120" s="37">
        <f t="shared" si="18"/>
        <v>748167</v>
      </c>
      <c r="W120" s="37">
        <f t="shared" si="18"/>
        <v>199846</v>
      </c>
      <c r="X120" s="37">
        <f t="shared" si="18"/>
        <v>141634</v>
      </c>
      <c r="Y120" s="37">
        <f t="shared" si="18"/>
        <v>2085619</v>
      </c>
      <c r="Z120" s="37">
        <f t="shared" si="18"/>
        <v>40932807</v>
      </c>
      <c r="AA120" s="37">
        <f t="shared" si="18"/>
        <v>2763582</v>
      </c>
      <c r="AB120" s="37">
        <f t="shared" si="18"/>
        <v>4425902</v>
      </c>
      <c r="AC120" s="37">
        <f t="shared" si="18"/>
        <v>422992</v>
      </c>
      <c r="AD120" s="37">
        <f t="shared" si="18"/>
        <v>1653374</v>
      </c>
      <c r="AE120" s="37">
        <f t="shared" si="18"/>
        <v>330288</v>
      </c>
      <c r="AF120" s="37">
        <f t="shared" si="18"/>
        <v>101640</v>
      </c>
      <c r="AG120" s="37">
        <f t="shared" si="18"/>
        <v>86637</v>
      </c>
      <c r="AH120" s="37">
        <f t="shared" si="18"/>
        <v>1400355</v>
      </c>
      <c r="AI120" s="37">
        <f t="shared" si="18"/>
        <v>37620</v>
      </c>
      <c r="AJ120" s="37">
        <f t="shared" si="18"/>
        <v>323145</v>
      </c>
      <c r="AK120" s="37">
        <f t="shared" si="18"/>
        <v>588918</v>
      </c>
      <c r="AL120" s="37">
        <f t="shared" si="18"/>
        <v>88331</v>
      </c>
      <c r="AM120" s="37">
        <f t="shared" si="18"/>
        <v>49831</v>
      </c>
      <c r="AN120" s="37">
        <f t="shared" si="18"/>
        <v>8311010</v>
      </c>
      <c r="AO120" s="37">
        <f t="shared" si="18"/>
        <v>5543343</v>
      </c>
      <c r="AP120" s="37">
        <f t="shared" si="18"/>
        <v>3927067</v>
      </c>
      <c r="AQ120" s="37">
        <f t="shared" si="18"/>
        <v>2279764</v>
      </c>
      <c r="AR120" s="37">
        <f t="shared" si="18"/>
        <v>38958</v>
      </c>
      <c r="AS120" s="37">
        <f t="shared" si="18"/>
        <v>123180</v>
      </c>
      <c r="AT120" s="37">
        <f t="shared" si="18"/>
        <v>2219059</v>
      </c>
      <c r="AV120" s="352">
        <f>SUM(C120:AT120)</f>
        <v>141896429</v>
      </c>
      <c r="AW120" s="11"/>
    </row>
    <row r="121" spans="1:49" s="37" customFormat="1" ht="11.25" customHeight="1">
      <c r="A121" s="8"/>
      <c r="B121" s="8"/>
      <c r="C121" s="15"/>
      <c r="D121" s="15"/>
      <c r="E121" s="15"/>
      <c r="F121" s="15"/>
      <c r="G121" s="15"/>
      <c r="H121" s="15"/>
      <c r="I121" s="15"/>
      <c r="J121" s="12"/>
      <c r="K121" s="12"/>
      <c r="L121" s="12"/>
      <c r="M121" s="12"/>
      <c r="N121" s="12"/>
      <c r="O121" s="12"/>
      <c r="P121" s="12"/>
      <c r="Q121" s="15"/>
      <c r="R121" s="15"/>
      <c r="S121" s="15"/>
      <c r="T121" s="15"/>
      <c r="U121" s="12"/>
      <c r="V121" s="12"/>
      <c r="W121" s="12"/>
      <c r="X121" s="12"/>
      <c r="Y121" s="12"/>
      <c r="Z121" s="15"/>
      <c r="AA121" s="15"/>
      <c r="AB121" s="15"/>
      <c r="AC121" s="15"/>
      <c r="AD121" s="15"/>
      <c r="AE121" s="12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2"/>
      <c r="AS121" s="12"/>
      <c r="AT121" s="15"/>
      <c r="AV121" s="123"/>
      <c r="AW121" s="11"/>
    </row>
    <row r="122" spans="6:48" ht="11.25" customHeight="1">
      <c r="F122" s="52"/>
      <c r="G122" s="52"/>
      <c r="H122" s="52"/>
      <c r="I122" s="52"/>
      <c r="J122" s="12"/>
      <c r="K122" s="12"/>
      <c r="L122" s="12"/>
      <c r="M122" s="12"/>
      <c r="N122" s="12"/>
      <c r="O122" s="12"/>
      <c r="P122" s="12"/>
      <c r="S122" s="52"/>
      <c r="U122" s="12"/>
      <c r="V122" s="12"/>
      <c r="W122" s="12"/>
      <c r="X122" s="12"/>
      <c r="Y122" s="12"/>
      <c r="AE122" s="12"/>
      <c r="AG122" s="52"/>
      <c r="AH122" s="52"/>
      <c r="AI122" s="52"/>
      <c r="AN122" s="52"/>
      <c r="AR122" s="12"/>
      <c r="AS122" s="12"/>
      <c r="AV122" s="123"/>
    </row>
    <row r="123" spans="1:48" ht="15.75" customHeight="1">
      <c r="A123" s="9" t="s">
        <v>124</v>
      </c>
      <c r="B123" s="5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V123" s="123"/>
    </row>
    <row r="124" spans="1:48" ht="11.25" customHeight="1" outlineLevel="1">
      <c r="A124" s="4" t="s">
        <v>125</v>
      </c>
      <c r="B124" s="4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V124" s="123"/>
    </row>
    <row r="125" spans="1:48" ht="11.25" customHeight="1" outlineLevel="1">
      <c r="A125" s="6" t="s">
        <v>126</v>
      </c>
      <c r="B125" s="6"/>
      <c r="C125" s="132">
        <v>408855</v>
      </c>
      <c r="D125" s="132">
        <v>246235</v>
      </c>
      <c r="E125" s="132">
        <v>95625</v>
      </c>
      <c r="F125" s="132">
        <v>628903</v>
      </c>
      <c r="G125" s="132">
        <v>93916</v>
      </c>
      <c r="H125" s="132">
        <v>124602</v>
      </c>
      <c r="I125" s="132">
        <v>-1881</v>
      </c>
      <c r="J125" s="132">
        <v>9404</v>
      </c>
      <c r="K125" s="132">
        <v>13211</v>
      </c>
      <c r="L125" s="132">
        <v>7719</v>
      </c>
      <c r="M125" s="132">
        <v>10460</v>
      </c>
      <c r="N125" s="132">
        <v>697</v>
      </c>
      <c r="O125" s="132">
        <v>47753</v>
      </c>
      <c r="P125" s="132">
        <v>303601</v>
      </c>
      <c r="Q125" s="132">
        <v>1824356</v>
      </c>
      <c r="R125" s="132">
        <v>2454205</v>
      </c>
      <c r="S125" s="132">
        <v>609760</v>
      </c>
      <c r="T125" s="132">
        <v>130954</v>
      </c>
      <c r="U125" s="132">
        <v>6109</v>
      </c>
      <c r="V125" s="132">
        <v>107193</v>
      </c>
      <c r="W125" s="132">
        <v>6429</v>
      </c>
      <c r="X125" s="132">
        <v>20991</v>
      </c>
      <c r="Y125" s="132">
        <v>160834</v>
      </c>
      <c r="Z125" s="132">
        <v>2619617</v>
      </c>
      <c r="AA125" s="132">
        <v>104832</v>
      </c>
      <c r="AB125" s="132">
        <v>105744</v>
      </c>
      <c r="AC125" s="132">
        <v>35002</v>
      </c>
      <c r="AD125" s="132">
        <v>109202</v>
      </c>
      <c r="AE125" s="132">
        <v>38150</v>
      </c>
      <c r="AF125" s="132">
        <v>12877</v>
      </c>
      <c r="AG125" s="132">
        <v>478</v>
      </c>
      <c r="AH125" s="132">
        <v>281047</v>
      </c>
      <c r="AI125" s="132">
        <v>35668</v>
      </c>
      <c r="AJ125" s="132">
        <v>24943</v>
      </c>
      <c r="AK125" s="132">
        <v>84485</v>
      </c>
      <c r="AL125" s="132">
        <v>19918</v>
      </c>
      <c r="AM125" s="132">
        <v>9531</v>
      </c>
      <c r="AN125" s="132">
        <v>1523248</v>
      </c>
      <c r="AO125" s="132">
        <v>-1350713</v>
      </c>
      <c r="AP125" s="132">
        <v>2416632</v>
      </c>
      <c r="AQ125" s="132">
        <v>1699336</v>
      </c>
      <c r="AR125" s="132">
        <v>5786</v>
      </c>
      <c r="AS125" s="132">
        <v>14512</v>
      </c>
      <c r="AT125" s="132">
        <v>66408</v>
      </c>
      <c r="AV125" s="123">
        <f aca="true" t="shared" si="19" ref="AV125:AV133">SUM(C125:AT125)</f>
        <v>15166634</v>
      </c>
    </row>
    <row r="126" spans="1:48" ht="11.25" customHeight="1" outlineLevel="1">
      <c r="A126" s="6" t="s">
        <v>127</v>
      </c>
      <c r="B126" s="6"/>
      <c r="C126" s="132">
        <v>36289</v>
      </c>
      <c r="D126" s="132">
        <v>8783</v>
      </c>
      <c r="E126" s="132">
        <v>43397</v>
      </c>
      <c r="F126" s="132">
        <v>178799</v>
      </c>
      <c r="G126" s="132">
        <v>30049</v>
      </c>
      <c r="H126" s="132">
        <v>55464</v>
      </c>
      <c r="I126" s="132">
        <v>4059</v>
      </c>
      <c r="J126" s="132">
        <v>4019</v>
      </c>
      <c r="K126" s="132">
        <v>5647</v>
      </c>
      <c r="L126" s="132">
        <v>3299</v>
      </c>
      <c r="M126" s="132">
        <v>4471</v>
      </c>
      <c r="N126" s="132">
        <v>298</v>
      </c>
      <c r="O126" s="132">
        <v>20411</v>
      </c>
      <c r="P126" s="132">
        <v>129765</v>
      </c>
      <c r="Q126" s="132">
        <v>53408</v>
      </c>
      <c r="R126" s="132">
        <v>267168</v>
      </c>
      <c r="S126" s="132">
        <v>58280</v>
      </c>
      <c r="T126" s="132">
        <v>27815</v>
      </c>
      <c r="U126" s="132">
        <v>585</v>
      </c>
      <c r="V126" s="132">
        <v>19119</v>
      </c>
      <c r="W126" s="132">
        <v>11412</v>
      </c>
      <c r="X126" s="132">
        <v>4140</v>
      </c>
      <c r="Y126" s="132">
        <v>29809</v>
      </c>
      <c r="Z126" s="132">
        <v>6024797</v>
      </c>
      <c r="AA126" s="132">
        <v>285154</v>
      </c>
      <c r="AB126" s="132">
        <v>364613</v>
      </c>
      <c r="AC126" s="133">
        <v>0</v>
      </c>
      <c r="AD126" s="133">
        <v>0</v>
      </c>
      <c r="AE126" s="132">
        <v>31228</v>
      </c>
      <c r="AF126" s="132">
        <v>0</v>
      </c>
      <c r="AG126" s="133">
        <v>0</v>
      </c>
      <c r="AH126" s="132">
        <v>6382</v>
      </c>
      <c r="AI126" s="132">
        <v>16</v>
      </c>
      <c r="AJ126" s="132">
        <v>1800</v>
      </c>
      <c r="AK126" s="132">
        <v>3723</v>
      </c>
      <c r="AL126" s="132">
        <v>694</v>
      </c>
      <c r="AM126" s="132">
        <v>5426</v>
      </c>
      <c r="AN126" s="132">
        <v>96162</v>
      </c>
      <c r="AO126" s="132">
        <v>69516</v>
      </c>
      <c r="AP126" s="132">
        <v>17389</v>
      </c>
      <c r="AQ126" s="132">
        <v>145596</v>
      </c>
      <c r="AR126" s="132">
        <v>98</v>
      </c>
      <c r="AS126" s="132">
        <v>32</v>
      </c>
      <c r="AT126" s="133">
        <v>0</v>
      </c>
      <c r="AV126" s="123">
        <f t="shared" si="19"/>
        <v>8049112</v>
      </c>
    </row>
    <row r="127" spans="1:48" ht="11.25" customHeight="1" outlineLevel="1">
      <c r="A127" s="6" t="s">
        <v>128</v>
      </c>
      <c r="B127" s="6"/>
      <c r="C127" s="133">
        <v>0</v>
      </c>
      <c r="D127" s="133">
        <v>0</v>
      </c>
      <c r="E127" s="133">
        <v>0</v>
      </c>
      <c r="F127" s="132">
        <v>0</v>
      </c>
      <c r="G127" s="133">
        <v>0</v>
      </c>
      <c r="H127" s="133">
        <v>0</v>
      </c>
      <c r="I127" s="133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  <c r="V127" s="133">
        <v>0</v>
      </c>
      <c r="W127" s="133">
        <v>0</v>
      </c>
      <c r="X127" s="133">
        <v>0</v>
      </c>
      <c r="Y127" s="133">
        <v>0</v>
      </c>
      <c r="Z127" s="133">
        <v>0</v>
      </c>
      <c r="AA127" s="133">
        <v>0</v>
      </c>
      <c r="AB127" s="133">
        <v>0</v>
      </c>
      <c r="AC127" s="133">
        <v>0</v>
      </c>
      <c r="AD127" s="133">
        <v>0</v>
      </c>
      <c r="AE127" s="133">
        <v>0</v>
      </c>
      <c r="AF127" s="132">
        <v>0</v>
      </c>
      <c r="AG127" s="133">
        <v>0</v>
      </c>
      <c r="AH127" s="132">
        <v>0</v>
      </c>
      <c r="AI127" s="133">
        <v>0</v>
      </c>
      <c r="AJ127" s="133">
        <v>0</v>
      </c>
      <c r="AK127" s="133">
        <v>0</v>
      </c>
      <c r="AL127" s="133">
        <v>0</v>
      </c>
      <c r="AM127" s="133">
        <v>0</v>
      </c>
      <c r="AN127" s="133">
        <v>0</v>
      </c>
      <c r="AO127" s="133">
        <v>0</v>
      </c>
      <c r="AP127" s="133">
        <v>0</v>
      </c>
      <c r="AQ127" s="133">
        <v>0</v>
      </c>
      <c r="AR127" s="133">
        <v>0</v>
      </c>
      <c r="AS127" s="133">
        <v>0</v>
      </c>
      <c r="AT127" s="133">
        <v>0</v>
      </c>
      <c r="AV127" s="123">
        <f t="shared" si="19"/>
        <v>0</v>
      </c>
    </row>
    <row r="128" spans="1:48" ht="11.25" customHeight="1" outlineLevel="1">
      <c r="A128" s="6" t="s">
        <v>129</v>
      </c>
      <c r="B128" s="6"/>
      <c r="C128" s="133">
        <v>0</v>
      </c>
      <c r="D128" s="133">
        <v>0</v>
      </c>
      <c r="E128" s="133">
        <v>0</v>
      </c>
      <c r="F128" s="132">
        <v>117303</v>
      </c>
      <c r="G128" s="132">
        <v>13450</v>
      </c>
      <c r="H128" s="132">
        <v>24187</v>
      </c>
      <c r="I128" s="133">
        <v>0</v>
      </c>
      <c r="J128" s="132">
        <v>3186</v>
      </c>
      <c r="K128" s="132">
        <v>4476</v>
      </c>
      <c r="L128" s="132">
        <v>2615</v>
      </c>
      <c r="M128" s="132">
        <v>3544</v>
      </c>
      <c r="N128" s="132">
        <v>236</v>
      </c>
      <c r="O128" s="132">
        <v>16179</v>
      </c>
      <c r="P128" s="132">
        <v>102864</v>
      </c>
      <c r="Q128" s="132">
        <v>38443</v>
      </c>
      <c r="R128" s="132">
        <v>189596</v>
      </c>
      <c r="S128" s="132">
        <v>53682</v>
      </c>
      <c r="T128" s="132">
        <v>0</v>
      </c>
      <c r="U128" s="133">
        <v>0</v>
      </c>
      <c r="V128" s="132">
        <v>28879</v>
      </c>
      <c r="W128" s="132">
        <v>10526</v>
      </c>
      <c r="X128" s="132">
        <v>3514</v>
      </c>
      <c r="Y128" s="132">
        <v>9589</v>
      </c>
      <c r="Z128" s="132">
        <v>1037247</v>
      </c>
      <c r="AA128" s="132">
        <v>75101</v>
      </c>
      <c r="AB128" s="132">
        <v>251543</v>
      </c>
      <c r="AC128" s="133">
        <v>0</v>
      </c>
      <c r="AD128" s="133">
        <v>0</v>
      </c>
      <c r="AE128" s="133">
        <v>0</v>
      </c>
      <c r="AF128" s="132">
        <v>0</v>
      </c>
      <c r="AG128" s="133">
        <v>0</v>
      </c>
      <c r="AH128" s="132">
        <v>3079</v>
      </c>
      <c r="AI128" s="133">
        <v>0</v>
      </c>
      <c r="AJ128" s="132">
        <v>350</v>
      </c>
      <c r="AK128" s="132">
        <v>4043</v>
      </c>
      <c r="AL128" s="133">
        <v>0</v>
      </c>
      <c r="AM128" s="133">
        <v>0</v>
      </c>
      <c r="AN128" s="132">
        <v>10648</v>
      </c>
      <c r="AO128" s="132">
        <v>12872</v>
      </c>
      <c r="AP128" s="132">
        <v>4012</v>
      </c>
      <c r="AQ128" s="133">
        <v>0</v>
      </c>
      <c r="AR128" s="133">
        <v>0</v>
      </c>
      <c r="AS128" s="133">
        <v>0</v>
      </c>
      <c r="AT128" s="132">
        <v>19170</v>
      </c>
      <c r="AV128" s="123">
        <f t="shared" si="19"/>
        <v>2040334</v>
      </c>
    </row>
    <row r="129" spans="1:48" ht="11.25" customHeight="1" outlineLevel="1">
      <c r="A129" s="6" t="s">
        <v>130</v>
      </c>
      <c r="B129" s="6"/>
      <c r="C129" s="132">
        <v>1590285</v>
      </c>
      <c r="D129" s="132">
        <v>689728</v>
      </c>
      <c r="E129" s="132">
        <v>0</v>
      </c>
      <c r="F129" s="132">
        <v>434817</v>
      </c>
      <c r="G129" s="132">
        <v>186780</v>
      </c>
      <c r="H129" s="132">
        <v>173936</v>
      </c>
      <c r="I129" s="133">
        <v>0</v>
      </c>
      <c r="J129" s="132">
        <v>1723</v>
      </c>
      <c r="K129" s="132">
        <v>2420</v>
      </c>
      <c r="L129" s="132">
        <v>1414</v>
      </c>
      <c r="M129" s="132">
        <v>1916</v>
      </c>
      <c r="N129" s="132">
        <v>128</v>
      </c>
      <c r="O129" s="132">
        <v>8747</v>
      </c>
      <c r="P129" s="132">
        <v>55612</v>
      </c>
      <c r="Q129" s="132">
        <v>1976248</v>
      </c>
      <c r="R129" s="132">
        <v>5297882</v>
      </c>
      <c r="S129" s="132">
        <v>699969</v>
      </c>
      <c r="T129" s="132">
        <v>815674</v>
      </c>
      <c r="U129" s="133">
        <v>0</v>
      </c>
      <c r="V129" s="133">
        <v>0</v>
      </c>
      <c r="W129" s="132">
        <v>40502</v>
      </c>
      <c r="X129" s="132">
        <v>13579</v>
      </c>
      <c r="Y129" s="132">
        <v>217491</v>
      </c>
      <c r="Z129" s="132">
        <v>12194958</v>
      </c>
      <c r="AA129" s="132">
        <v>1871103</v>
      </c>
      <c r="AB129" s="132">
        <v>788255</v>
      </c>
      <c r="AC129" s="132">
        <v>132449</v>
      </c>
      <c r="AD129" s="132">
        <v>628789</v>
      </c>
      <c r="AE129" s="133">
        <v>0</v>
      </c>
      <c r="AF129" s="132">
        <v>0</v>
      </c>
      <c r="AG129" s="132">
        <v>42806</v>
      </c>
      <c r="AH129" s="132">
        <v>735543</v>
      </c>
      <c r="AI129" s="133">
        <v>0</v>
      </c>
      <c r="AJ129" s="133">
        <v>0</v>
      </c>
      <c r="AK129" s="132">
        <v>297306</v>
      </c>
      <c r="AL129" s="132">
        <v>25119</v>
      </c>
      <c r="AM129" s="133">
        <v>0</v>
      </c>
      <c r="AN129" s="132">
        <v>7030533</v>
      </c>
      <c r="AO129" s="132">
        <v>8418286</v>
      </c>
      <c r="AP129" s="132">
        <v>1885939</v>
      </c>
      <c r="AQ129" s="133">
        <v>0</v>
      </c>
      <c r="AR129" s="132">
        <v>7120</v>
      </c>
      <c r="AS129" s="132">
        <v>15482</v>
      </c>
      <c r="AT129" s="132">
        <v>1786884</v>
      </c>
      <c r="AV129" s="123">
        <f t="shared" si="19"/>
        <v>48069423</v>
      </c>
    </row>
    <row r="130" spans="1:48" ht="11.25" customHeight="1" outlineLevel="1">
      <c r="A130" s="6" t="s">
        <v>131</v>
      </c>
      <c r="B130" s="6"/>
      <c r="C130" s="133">
        <v>0</v>
      </c>
      <c r="D130" s="133">
        <v>0</v>
      </c>
      <c r="E130" s="133">
        <v>0</v>
      </c>
      <c r="F130" s="132">
        <v>139808</v>
      </c>
      <c r="G130" s="132">
        <v>399</v>
      </c>
      <c r="H130" s="132">
        <v>399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2">
        <v>0</v>
      </c>
      <c r="P130" s="133">
        <v>0</v>
      </c>
      <c r="Q130" s="132">
        <v>27122</v>
      </c>
      <c r="R130" s="132">
        <v>128696</v>
      </c>
      <c r="S130" s="132">
        <v>16679</v>
      </c>
      <c r="T130" s="132">
        <v>0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2">
        <v>3588505</v>
      </c>
      <c r="AA130" s="132">
        <v>586663</v>
      </c>
      <c r="AB130" s="132">
        <v>4614008</v>
      </c>
      <c r="AC130" s="132">
        <v>636772</v>
      </c>
      <c r="AD130" s="132">
        <v>468046</v>
      </c>
      <c r="AE130" s="133">
        <v>0</v>
      </c>
      <c r="AF130" s="132">
        <v>0</v>
      </c>
      <c r="AG130" s="133">
        <v>0</v>
      </c>
      <c r="AH130" s="132">
        <v>257000</v>
      </c>
      <c r="AI130" s="133">
        <v>0</v>
      </c>
      <c r="AJ130" s="133">
        <v>0</v>
      </c>
      <c r="AK130" s="132">
        <v>673</v>
      </c>
      <c r="AL130" s="132">
        <v>2</v>
      </c>
      <c r="AM130" s="133">
        <v>0</v>
      </c>
      <c r="AN130" s="132">
        <v>201105</v>
      </c>
      <c r="AO130" s="132">
        <v>151250</v>
      </c>
      <c r="AP130" s="133">
        <v>0</v>
      </c>
      <c r="AQ130" s="133">
        <v>0</v>
      </c>
      <c r="AR130" s="132">
        <v>3198</v>
      </c>
      <c r="AS130" s="132">
        <v>5969</v>
      </c>
      <c r="AT130" s="132">
        <v>153311</v>
      </c>
      <c r="AV130" s="123">
        <f t="shared" si="19"/>
        <v>10979605</v>
      </c>
    </row>
    <row r="131" spans="1:48" ht="11.25" customHeight="1" outlineLevel="1">
      <c r="A131" s="6" t="s">
        <v>132</v>
      </c>
      <c r="B131" s="6"/>
      <c r="C131" s="133">
        <v>0</v>
      </c>
      <c r="D131" s="133">
        <v>0</v>
      </c>
      <c r="E131" s="133">
        <v>0</v>
      </c>
      <c r="F131" s="132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2">
        <v>0</v>
      </c>
      <c r="P131" s="133">
        <v>0</v>
      </c>
      <c r="Q131" s="133">
        <v>0</v>
      </c>
      <c r="R131" s="133">
        <v>0</v>
      </c>
      <c r="S131" s="133">
        <v>0</v>
      </c>
      <c r="T131" s="132">
        <v>1554554</v>
      </c>
      <c r="U131" s="133">
        <v>0</v>
      </c>
      <c r="V131" s="133">
        <v>0</v>
      </c>
      <c r="W131" s="133">
        <v>0</v>
      </c>
      <c r="X131" s="133">
        <v>0</v>
      </c>
      <c r="Y131" s="132">
        <v>204</v>
      </c>
      <c r="Z131" s="133">
        <v>0</v>
      </c>
      <c r="AA131" s="133">
        <v>0</v>
      </c>
      <c r="AB131" s="133">
        <v>0</v>
      </c>
      <c r="AC131" s="133">
        <v>0</v>
      </c>
      <c r="AD131" s="133">
        <v>0</v>
      </c>
      <c r="AE131" s="133">
        <v>0</v>
      </c>
      <c r="AF131" s="132">
        <v>0</v>
      </c>
      <c r="AG131" s="133">
        <v>0</v>
      </c>
      <c r="AH131" s="133">
        <v>0</v>
      </c>
      <c r="AI131" s="133">
        <v>0</v>
      </c>
      <c r="AJ131" s="133">
        <v>0</v>
      </c>
      <c r="AK131" s="133">
        <v>0</v>
      </c>
      <c r="AL131" s="133">
        <v>0</v>
      </c>
      <c r="AM131" s="133">
        <v>0</v>
      </c>
      <c r="AN131" s="133">
        <v>0</v>
      </c>
      <c r="AO131" s="133">
        <v>0</v>
      </c>
      <c r="AP131" s="133">
        <v>0</v>
      </c>
      <c r="AQ131" s="133">
        <v>0</v>
      </c>
      <c r="AR131" s="133">
        <v>0</v>
      </c>
      <c r="AS131" s="133">
        <v>0</v>
      </c>
      <c r="AT131" s="133">
        <v>0</v>
      </c>
      <c r="AV131" s="123">
        <f t="shared" si="19"/>
        <v>1554758</v>
      </c>
    </row>
    <row r="132" spans="1:48" ht="11.25" customHeight="1" outlineLevel="1">
      <c r="A132" s="6" t="s">
        <v>133</v>
      </c>
      <c r="B132" s="6"/>
      <c r="C132" s="133">
        <v>0</v>
      </c>
      <c r="D132" s="133">
        <v>0</v>
      </c>
      <c r="E132" s="133">
        <v>0</v>
      </c>
      <c r="F132" s="132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  <c r="V132" s="133">
        <v>0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>
        <v>0</v>
      </c>
      <c r="AC132" s="133">
        <v>0</v>
      </c>
      <c r="AD132" s="133">
        <v>0</v>
      </c>
      <c r="AE132" s="133">
        <v>0</v>
      </c>
      <c r="AF132" s="132">
        <v>0</v>
      </c>
      <c r="AG132" s="133">
        <v>0</v>
      </c>
      <c r="AH132" s="133">
        <v>0</v>
      </c>
      <c r="AI132" s="133">
        <v>0</v>
      </c>
      <c r="AJ132" s="133">
        <v>0</v>
      </c>
      <c r="AK132" s="133">
        <v>0</v>
      </c>
      <c r="AL132" s="133">
        <v>0</v>
      </c>
      <c r="AM132" s="133">
        <v>0</v>
      </c>
      <c r="AN132" s="133">
        <v>0</v>
      </c>
      <c r="AO132" s="133">
        <v>0</v>
      </c>
      <c r="AP132" s="133">
        <v>0</v>
      </c>
      <c r="AQ132" s="133">
        <v>0</v>
      </c>
      <c r="AR132" s="133">
        <v>0</v>
      </c>
      <c r="AS132" s="133">
        <v>0</v>
      </c>
      <c r="AT132" s="133">
        <v>0</v>
      </c>
      <c r="AV132" s="123">
        <f t="shared" si="19"/>
        <v>0</v>
      </c>
    </row>
    <row r="133" spans="1:48" ht="11.25" customHeight="1" outlineLevel="1">
      <c r="A133" s="6" t="s">
        <v>134</v>
      </c>
      <c r="B133" s="6"/>
      <c r="C133" s="133">
        <v>0</v>
      </c>
      <c r="D133" s="133">
        <v>0</v>
      </c>
      <c r="E133" s="133">
        <v>0</v>
      </c>
      <c r="F133" s="132">
        <v>0</v>
      </c>
      <c r="G133" s="132">
        <v>449</v>
      </c>
      <c r="H133" s="132">
        <v>1050</v>
      </c>
      <c r="I133" s="132">
        <v>-1428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32">
        <v>3769</v>
      </c>
      <c r="R133" s="132">
        <v>8300</v>
      </c>
      <c r="S133" s="132">
        <v>451</v>
      </c>
      <c r="T133" s="132">
        <v>694</v>
      </c>
      <c r="U133" s="133">
        <v>0</v>
      </c>
      <c r="V133" s="133">
        <v>0</v>
      </c>
      <c r="W133" s="133">
        <v>0</v>
      </c>
      <c r="X133" s="133">
        <v>0</v>
      </c>
      <c r="Y133" s="132">
        <v>8776</v>
      </c>
      <c r="Z133" s="132">
        <v>1562936</v>
      </c>
      <c r="AA133" s="132">
        <v>76178</v>
      </c>
      <c r="AB133" s="132">
        <v>105502</v>
      </c>
      <c r="AC133" s="133">
        <v>0</v>
      </c>
      <c r="AD133" s="132">
        <v>-787</v>
      </c>
      <c r="AE133" s="133">
        <v>0</v>
      </c>
      <c r="AF133" s="132">
        <v>0</v>
      </c>
      <c r="AG133" s="132">
        <v>1667</v>
      </c>
      <c r="AH133" s="133">
        <v>0</v>
      </c>
      <c r="AI133" s="133">
        <v>0</v>
      </c>
      <c r="AJ133" s="133">
        <v>0</v>
      </c>
      <c r="AK133" s="132">
        <v>2927</v>
      </c>
      <c r="AL133" s="132">
        <v>-64</v>
      </c>
      <c r="AM133" s="132">
        <v>-772</v>
      </c>
      <c r="AN133" s="133">
        <v>0</v>
      </c>
      <c r="AO133" s="133">
        <v>0</v>
      </c>
      <c r="AP133" s="133">
        <v>0</v>
      </c>
      <c r="AQ133" s="133">
        <v>0</v>
      </c>
      <c r="AR133" s="133">
        <v>0</v>
      </c>
      <c r="AS133" s="133">
        <v>0</v>
      </c>
      <c r="AT133" s="132">
        <v>130061</v>
      </c>
      <c r="AV133" s="123">
        <f t="shared" si="19"/>
        <v>1899709</v>
      </c>
    </row>
    <row r="134" spans="1:48" ht="11.25" customHeight="1">
      <c r="A134" s="4" t="s">
        <v>135</v>
      </c>
      <c r="B134" s="4"/>
      <c r="C134" s="132">
        <f aca="true" t="shared" si="20" ref="C134:AT134">SUM(C125:C133)</f>
        <v>2035429</v>
      </c>
      <c r="D134" s="132">
        <f t="shared" si="20"/>
        <v>944746</v>
      </c>
      <c r="E134" s="132">
        <f t="shared" si="20"/>
        <v>139022</v>
      </c>
      <c r="F134" s="132">
        <f t="shared" si="20"/>
        <v>1499630</v>
      </c>
      <c r="G134" s="132">
        <f t="shared" si="20"/>
        <v>325043</v>
      </c>
      <c r="H134" s="132">
        <f t="shared" si="20"/>
        <v>379638</v>
      </c>
      <c r="I134" s="132">
        <f t="shared" si="20"/>
        <v>750</v>
      </c>
      <c r="J134" s="132">
        <f t="shared" si="20"/>
        <v>18332</v>
      </c>
      <c r="K134" s="132">
        <f t="shared" si="20"/>
        <v>25754</v>
      </c>
      <c r="L134" s="132">
        <f t="shared" si="20"/>
        <v>15047</v>
      </c>
      <c r="M134" s="132">
        <f t="shared" si="20"/>
        <v>20391</v>
      </c>
      <c r="N134" s="132">
        <f t="shared" si="20"/>
        <v>1359</v>
      </c>
      <c r="O134" s="132">
        <f t="shared" si="20"/>
        <v>93090</v>
      </c>
      <c r="P134" s="132">
        <f t="shared" si="20"/>
        <v>591842</v>
      </c>
      <c r="Q134" s="132">
        <f t="shared" si="20"/>
        <v>3923346</v>
      </c>
      <c r="R134" s="132">
        <f t="shared" si="20"/>
        <v>8345847</v>
      </c>
      <c r="S134" s="132">
        <f t="shared" si="20"/>
        <v>1438821</v>
      </c>
      <c r="T134" s="132">
        <f t="shared" si="20"/>
        <v>2529691</v>
      </c>
      <c r="U134" s="132">
        <f t="shared" si="20"/>
        <v>6694</v>
      </c>
      <c r="V134" s="132">
        <f t="shared" si="20"/>
        <v>155191</v>
      </c>
      <c r="W134" s="132">
        <f t="shared" si="20"/>
        <v>68869</v>
      </c>
      <c r="X134" s="132">
        <f t="shared" si="20"/>
        <v>42224</v>
      </c>
      <c r="Y134" s="132">
        <f t="shared" si="20"/>
        <v>426703</v>
      </c>
      <c r="Z134" s="132">
        <f t="shared" si="20"/>
        <v>27028060</v>
      </c>
      <c r="AA134" s="132">
        <f t="shared" si="20"/>
        <v>2999031</v>
      </c>
      <c r="AB134" s="132">
        <f t="shared" si="20"/>
        <v>6229665</v>
      </c>
      <c r="AC134" s="132">
        <f t="shared" si="20"/>
        <v>804223</v>
      </c>
      <c r="AD134" s="132">
        <f t="shared" si="20"/>
        <v>1205250</v>
      </c>
      <c r="AE134" s="132">
        <f t="shared" si="20"/>
        <v>69378</v>
      </c>
      <c r="AF134" s="132">
        <f t="shared" si="20"/>
        <v>12877</v>
      </c>
      <c r="AG134" s="132">
        <f t="shared" si="20"/>
        <v>44951</v>
      </c>
      <c r="AH134" s="132">
        <f t="shared" si="20"/>
        <v>1283051</v>
      </c>
      <c r="AI134" s="132">
        <f t="shared" si="20"/>
        <v>35684</v>
      </c>
      <c r="AJ134" s="132">
        <f t="shared" si="20"/>
        <v>27093</v>
      </c>
      <c r="AK134" s="132">
        <f t="shared" si="20"/>
        <v>393157</v>
      </c>
      <c r="AL134" s="132">
        <f t="shared" si="20"/>
        <v>45669</v>
      </c>
      <c r="AM134" s="132">
        <f t="shared" si="20"/>
        <v>14185</v>
      </c>
      <c r="AN134" s="132">
        <f t="shared" si="20"/>
        <v>8861696</v>
      </c>
      <c r="AO134" s="132">
        <f t="shared" si="20"/>
        <v>7301211</v>
      </c>
      <c r="AP134" s="132">
        <f t="shared" si="20"/>
        <v>4323972</v>
      </c>
      <c r="AQ134" s="132">
        <f t="shared" si="20"/>
        <v>1844932</v>
      </c>
      <c r="AR134" s="132">
        <f t="shared" si="20"/>
        <v>16202</v>
      </c>
      <c r="AS134" s="132">
        <f t="shared" si="20"/>
        <v>35995</v>
      </c>
      <c r="AT134" s="132">
        <f t="shared" si="20"/>
        <v>2155834</v>
      </c>
      <c r="AV134" s="123">
        <f>SUM(AV125:AV133)</f>
        <v>87759575</v>
      </c>
    </row>
    <row r="135" spans="1:48" ht="11.25" customHeight="1">
      <c r="A135" s="6"/>
      <c r="B135" s="6"/>
      <c r="C135" s="133"/>
      <c r="D135" s="133"/>
      <c r="E135" s="133"/>
      <c r="F135" s="132"/>
      <c r="G135" s="132"/>
      <c r="H135" s="132"/>
      <c r="I135" s="132"/>
      <c r="J135" s="133"/>
      <c r="K135" s="133"/>
      <c r="L135" s="133"/>
      <c r="M135" s="133"/>
      <c r="N135" s="133"/>
      <c r="O135" s="133"/>
      <c r="P135" s="133"/>
      <c r="Q135" s="132"/>
      <c r="R135" s="132"/>
      <c r="S135" s="132"/>
      <c r="T135" s="132"/>
      <c r="U135" s="133"/>
      <c r="V135" s="133"/>
      <c r="W135" s="133"/>
      <c r="X135" s="133"/>
      <c r="Y135" s="132"/>
      <c r="Z135" s="132"/>
      <c r="AA135" s="132"/>
      <c r="AB135" s="132"/>
      <c r="AC135" s="133"/>
      <c r="AD135" s="132"/>
      <c r="AE135" s="133"/>
      <c r="AF135" s="132"/>
      <c r="AG135" s="132"/>
      <c r="AH135" s="133"/>
      <c r="AI135" s="133"/>
      <c r="AJ135" s="133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32"/>
      <c r="AV135" s="123"/>
    </row>
    <row r="136" spans="1:48" ht="11.25" customHeight="1" outlineLevel="1">
      <c r="A136" s="4" t="s">
        <v>136</v>
      </c>
      <c r="B136" s="4"/>
      <c r="C136" s="133"/>
      <c r="D136" s="133"/>
      <c r="E136" s="133"/>
      <c r="F136" s="132"/>
      <c r="G136" s="132"/>
      <c r="H136" s="132"/>
      <c r="I136" s="132"/>
      <c r="J136" s="133"/>
      <c r="K136" s="133"/>
      <c r="L136" s="133"/>
      <c r="M136" s="133"/>
      <c r="N136" s="133"/>
      <c r="O136" s="133"/>
      <c r="P136" s="133"/>
      <c r="Q136" s="132"/>
      <c r="R136" s="132"/>
      <c r="S136" s="132"/>
      <c r="T136" s="132"/>
      <c r="U136" s="133"/>
      <c r="V136" s="133"/>
      <c r="W136" s="133"/>
      <c r="X136" s="133"/>
      <c r="Y136" s="132"/>
      <c r="Z136" s="132"/>
      <c r="AA136" s="132"/>
      <c r="AB136" s="132"/>
      <c r="AC136" s="133"/>
      <c r="AD136" s="132"/>
      <c r="AE136" s="133"/>
      <c r="AF136" s="132"/>
      <c r="AG136" s="132"/>
      <c r="AH136" s="133"/>
      <c r="AI136" s="133"/>
      <c r="AJ136" s="133"/>
      <c r="AK136" s="132"/>
      <c r="AL136" s="132"/>
      <c r="AM136" s="132"/>
      <c r="AN136" s="133"/>
      <c r="AO136" s="133"/>
      <c r="AP136" s="133"/>
      <c r="AQ136" s="133"/>
      <c r="AR136" s="133"/>
      <c r="AS136" s="133"/>
      <c r="AT136" s="132"/>
      <c r="AV136" s="123"/>
    </row>
    <row r="137" spans="1:48" ht="11.25" customHeight="1" outlineLevel="1">
      <c r="A137" s="6" t="s">
        <v>49</v>
      </c>
      <c r="B137" s="6"/>
      <c r="C137" s="132">
        <v>29987</v>
      </c>
      <c r="D137" s="132">
        <v>31732</v>
      </c>
      <c r="E137" s="132">
        <v>45021</v>
      </c>
      <c r="F137" s="132">
        <v>80889</v>
      </c>
      <c r="G137" s="132">
        <v>5659</v>
      </c>
      <c r="H137" s="132">
        <v>42428</v>
      </c>
      <c r="I137" s="132">
        <v>750</v>
      </c>
      <c r="J137" s="132">
        <v>1593</v>
      </c>
      <c r="K137" s="132">
        <v>2238</v>
      </c>
      <c r="L137" s="132">
        <v>1307</v>
      </c>
      <c r="M137" s="132">
        <v>1772</v>
      </c>
      <c r="N137" s="132">
        <v>118</v>
      </c>
      <c r="O137" s="132">
        <v>8088</v>
      </c>
      <c r="P137" s="132">
        <v>51424</v>
      </c>
      <c r="Q137" s="132">
        <v>24300</v>
      </c>
      <c r="R137" s="132">
        <v>233245</v>
      </c>
      <c r="S137" s="132">
        <v>170820</v>
      </c>
      <c r="T137" s="132">
        <v>123021</v>
      </c>
      <c r="U137" s="132">
        <v>668</v>
      </c>
      <c r="V137" s="132">
        <v>6902</v>
      </c>
      <c r="W137" s="132">
        <v>2051</v>
      </c>
      <c r="X137" s="132">
        <v>581</v>
      </c>
      <c r="Y137" s="132">
        <v>47076</v>
      </c>
      <c r="Z137" s="132">
        <v>263039</v>
      </c>
      <c r="AA137" s="132">
        <v>77058</v>
      </c>
      <c r="AB137" s="132">
        <v>316558</v>
      </c>
      <c r="AC137" s="132">
        <v>9521</v>
      </c>
      <c r="AD137" s="132">
        <v>21752</v>
      </c>
      <c r="AE137" s="132">
        <v>7025</v>
      </c>
      <c r="AF137" s="132">
        <v>777</v>
      </c>
      <c r="AG137" s="132">
        <v>247</v>
      </c>
      <c r="AH137" s="132">
        <v>5435</v>
      </c>
      <c r="AI137" s="133">
        <v>0</v>
      </c>
      <c r="AJ137" s="132">
        <v>5965</v>
      </c>
      <c r="AK137" s="132">
        <v>9946</v>
      </c>
      <c r="AL137" s="132">
        <v>673</v>
      </c>
      <c r="AM137" s="132">
        <v>3870</v>
      </c>
      <c r="AN137" s="132">
        <v>5234</v>
      </c>
      <c r="AO137" s="132">
        <v>40019</v>
      </c>
      <c r="AP137" s="132">
        <v>94359</v>
      </c>
      <c r="AQ137" s="132">
        <v>109252</v>
      </c>
      <c r="AR137" s="132">
        <v>3456</v>
      </c>
      <c r="AS137" s="132">
        <v>229</v>
      </c>
      <c r="AT137" s="132">
        <v>36442</v>
      </c>
      <c r="AV137" s="123">
        <f>SUM(C137:AT137)</f>
        <v>1922527</v>
      </c>
    </row>
    <row r="138" spans="1:48" ht="11.25" customHeight="1" outlineLevel="1">
      <c r="A138" s="6" t="s">
        <v>137</v>
      </c>
      <c r="B138" s="6"/>
      <c r="C138" s="132">
        <v>1139</v>
      </c>
      <c r="D138" s="132">
        <v>361</v>
      </c>
      <c r="E138" s="132">
        <v>113</v>
      </c>
      <c r="F138" s="132">
        <v>1587</v>
      </c>
      <c r="G138" s="132">
        <v>2276</v>
      </c>
      <c r="H138" s="132">
        <v>-809</v>
      </c>
      <c r="I138" s="133">
        <v>0</v>
      </c>
      <c r="J138" s="132">
        <v>47</v>
      </c>
      <c r="K138" s="132">
        <v>66</v>
      </c>
      <c r="L138" s="132">
        <v>39</v>
      </c>
      <c r="M138" s="132">
        <v>52</v>
      </c>
      <c r="N138" s="132">
        <v>3</v>
      </c>
      <c r="O138" s="132">
        <v>239</v>
      </c>
      <c r="P138" s="132">
        <v>1520</v>
      </c>
      <c r="Q138" s="132">
        <v>8435</v>
      </c>
      <c r="R138" s="132">
        <v>25622</v>
      </c>
      <c r="S138" s="132">
        <v>2643</v>
      </c>
      <c r="T138" s="132">
        <v>1161</v>
      </c>
      <c r="U138" s="132">
        <v>10</v>
      </c>
      <c r="V138" s="132">
        <v>2169</v>
      </c>
      <c r="W138" s="132">
        <v>625</v>
      </c>
      <c r="X138" s="132">
        <v>414</v>
      </c>
      <c r="Y138" s="132">
        <v>11363</v>
      </c>
      <c r="Z138" s="132">
        <v>115924</v>
      </c>
      <c r="AA138" s="132">
        <v>8003</v>
      </c>
      <c r="AB138" s="132">
        <v>12971</v>
      </c>
      <c r="AC138" s="132">
        <v>640</v>
      </c>
      <c r="AD138" s="132">
        <v>2503</v>
      </c>
      <c r="AE138" s="132">
        <v>536</v>
      </c>
      <c r="AF138" s="132">
        <v>0</v>
      </c>
      <c r="AG138" s="132">
        <v>1</v>
      </c>
      <c r="AH138" s="132">
        <v>923</v>
      </c>
      <c r="AI138" s="132">
        <v>26</v>
      </c>
      <c r="AJ138" s="132">
        <v>128</v>
      </c>
      <c r="AK138" s="132">
        <v>1605</v>
      </c>
      <c r="AL138" s="132">
        <v>247</v>
      </c>
      <c r="AM138" s="133">
        <v>0</v>
      </c>
      <c r="AN138" s="132">
        <v>2474</v>
      </c>
      <c r="AO138" s="132">
        <v>1824</v>
      </c>
      <c r="AP138" s="132">
        <v>1450</v>
      </c>
      <c r="AQ138" s="133">
        <v>0</v>
      </c>
      <c r="AR138" s="132">
        <v>135</v>
      </c>
      <c r="AS138" s="132">
        <v>401</v>
      </c>
      <c r="AT138" s="132">
        <v>13363</v>
      </c>
      <c r="AV138" s="123">
        <f>SUM(C138:AT138)</f>
        <v>222229</v>
      </c>
    </row>
    <row r="139" spans="1:48" ht="11.25" customHeight="1" outlineLevel="1">
      <c r="A139" s="6" t="s">
        <v>138</v>
      </c>
      <c r="B139" s="6"/>
      <c r="C139" s="132">
        <v>3167</v>
      </c>
      <c r="D139" s="132">
        <v>920</v>
      </c>
      <c r="E139" s="132">
        <v>438</v>
      </c>
      <c r="F139" s="132">
        <v>1510</v>
      </c>
      <c r="G139" s="132">
        <v>3411</v>
      </c>
      <c r="H139" s="132">
        <v>5930</v>
      </c>
      <c r="I139" s="133">
        <v>0</v>
      </c>
      <c r="J139" s="132">
        <v>47</v>
      </c>
      <c r="K139" s="132">
        <v>66</v>
      </c>
      <c r="L139" s="132">
        <v>39</v>
      </c>
      <c r="M139" s="132">
        <v>52</v>
      </c>
      <c r="N139" s="132">
        <v>3</v>
      </c>
      <c r="O139" s="132">
        <v>238</v>
      </c>
      <c r="P139" s="132">
        <v>1516</v>
      </c>
      <c r="Q139" s="132">
        <v>12500</v>
      </c>
      <c r="R139" s="132">
        <v>31605</v>
      </c>
      <c r="S139" s="132">
        <v>2977</v>
      </c>
      <c r="T139" s="132">
        <v>1583</v>
      </c>
      <c r="U139" s="132">
        <v>13</v>
      </c>
      <c r="V139" s="132">
        <v>1769</v>
      </c>
      <c r="W139" s="132">
        <v>505</v>
      </c>
      <c r="X139" s="132">
        <v>348</v>
      </c>
      <c r="Y139" s="132">
        <v>17583</v>
      </c>
      <c r="Z139" s="132">
        <v>49154</v>
      </c>
      <c r="AA139" s="132">
        <v>3491</v>
      </c>
      <c r="AB139" s="132">
        <v>5863</v>
      </c>
      <c r="AC139" s="132">
        <v>1223</v>
      </c>
      <c r="AD139" s="132">
        <v>4782</v>
      </c>
      <c r="AE139" s="133">
        <v>0</v>
      </c>
      <c r="AF139" s="132">
        <v>0</v>
      </c>
      <c r="AG139" s="133">
        <v>0</v>
      </c>
      <c r="AH139" s="132">
        <v>977</v>
      </c>
      <c r="AI139" s="132">
        <v>26</v>
      </c>
      <c r="AJ139" s="132">
        <v>479</v>
      </c>
      <c r="AK139" s="133">
        <v>0</v>
      </c>
      <c r="AL139" s="133">
        <v>0</v>
      </c>
      <c r="AM139" s="133">
        <v>0</v>
      </c>
      <c r="AN139" s="132">
        <v>13324</v>
      </c>
      <c r="AO139" s="132">
        <v>7278</v>
      </c>
      <c r="AP139" s="132">
        <v>3032</v>
      </c>
      <c r="AQ139" s="132">
        <v>78</v>
      </c>
      <c r="AR139" s="132">
        <v>45</v>
      </c>
      <c r="AS139" s="132">
        <v>134</v>
      </c>
      <c r="AT139" s="132">
        <v>4182</v>
      </c>
      <c r="AV139" s="123">
        <f>SUM(C139:AT139)</f>
        <v>180288</v>
      </c>
    </row>
    <row r="140" spans="1:48" ht="11.25" customHeight="1" outlineLevel="1">
      <c r="A140" s="6" t="s">
        <v>139</v>
      </c>
      <c r="B140" s="6"/>
      <c r="C140" s="133">
        <v>0</v>
      </c>
      <c r="D140" s="133">
        <v>0</v>
      </c>
      <c r="E140" s="133">
        <v>0</v>
      </c>
      <c r="F140" s="132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132">
        <v>-2</v>
      </c>
      <c r="R140" s="132">
        <v>82</v>
      </c>
      <c r="S140" s="132">
        <v>-2</v>
      </c>
      <c r="T140" s="132">
        <v>4246</v>
      </c>
      <c r="U140" s="133">
        <v>0</v>
      </c>
      <c r="V140" s="133">
        <v>0</v>
      </c>
      <c r="W140" s="133">
        <v>0</v>
      </c>
      <c r="X140" s="133">
        <v>0</v>
      </c>
      <c r="Y140" s="133">
        <v>0</v>
      </c>
      <c r="Z140" s="132">
        <v>176209</v>
      </c>
      <c r="AA140" s="132">
        <v>19222</v>
      </c>
      <c r="AB140" s="132">
        <v>36336</v>
      </c>
      <c r="AC140" s="133">
        <v>0</v>
      </c>
      <c r="AD140" s="133">
        <v>0</v>
      </c>
      <c r="AE140" s="133">
        <v>0</v>
      </c>
      <c r="AF140" s="132">
        <v>0</v>
      </c>
      <c r="AG140" s="133">
        <v>0</v>
      </c>
      <c r="AH140" s="133">
        <v>0</v>
      </c>
      <c r="AI140" s="133">
        <v>0</v>
      </c>
      <c r="AJ140" s="133">
        <v>0</v>
      </c>
      <c r="AK140" s="133">
        <v>0</v>
      </c>
      <c r="AL140" s="133">
        <v>0</v>
      </c>
      <c r="AM140" s="133">
        <v>0</v>
      </c>
      <c r="AN140" s="133">
        <v>0</v>
      </c>
      <c r="AO140" s="133">
        <v>0</v>
      </c>
      <c r="AP140" s="133">
        <v>0</v>
      </c>
      <c r="AQ140" s="133">
        <v>0</v>
      </c>
      <c r="AR140" s="133">
        <v>0</v>
      </c>
      <c r="AS140" s="133">
        <v>0</v>
      </c>
      <c r="AT140" s="132">
        <v>1442</v>
      </c>
      <c r="AV140" s="123">
        <f>SUM(C140:AT140)</f>
        <v>237533</v>
      </c>
    </row>
    <row r="141" spans="1:48" ht="11.25" customHeight="1" outlineLevel="1">
      <c r="A141" s="6" t="s">
        <v>140</v>
      </c>
      <c r="B141" s="6"/>
      <c r="C141" s="133">
        <v>0</v>
      </c>
      <c r="D141" s="133">
        <v>0</v>
      </c>
      <c r="E141" s="133">
        <v>0</v>
      </c>
      <c r="F141" s="132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N141" s="133">
        <v>0</v>
      </c>
      <c r="O141" s="133">
        <v>0</v>
      </c>
      <c r="P141" s="133">
        <v>0</v>
      </c>
      <c r="Q141" s="133">
        <v>0</v>
      </c>
      <c r="R141" s="133">
        <v>0</v>
      </c>
      <c r="S141" s="133">
        <v>0</v>
      </c>
      <c r="T141" s="133">
        <v>0</v>
      </c>
      <c r="U141" s="133">
        <v>0</v>
      </c>
      <c r="V141" s="133">
        <v>0</v>
      </c>
      <c r="W141" s="133">
        <v>0</v>
      </c>
      <c r="X141" s="133">
        <v>0</v>
      </c>
      <c r="Y141" s="132">
        <v>-180</v>
      </c>
      <c r="Z141" s="133">
        <v>0</v>
      </c>
      <c r="AA141" s="133">
        <v>0</v>
      </c>
      <c r="AB141" s="133">
        <v>0</v>
      </c>
      <c r="AC141" s="133">
        <v>0</v>
      </c>
      <c r="AD141" s="133">
        <v>0</v>
      </c>
      <c r="AE141" s="133">
        <v>0</v>
      </c>
      <c r="AF141" s="132">
        <v>0</v>
      </c>
      <c r="AG141" s="133">
        <v>0</v>
      </c>
      <c r="AH141" s="132">
        <v>1346</v>
      </c>
      <c r="AI141" s="132">
        <v>1096</v>
      </c>
      <c r="AJ141" s="133">
        <v>0</v>
      </c>
      <c r="AK141" s="133">
        <v>0</v>
      </c>
      <c r="AL141" s="133">
        <v>0</v>
      </c>
      <c r="AM141" s="133">
        <v>0</v>
      </c>
      <c r="AN141" s="132">
        <v>205552</v>
      </c>
      <c r="AO141" s="132">
        <v>-126378</v>
      </c>
      <c r="AP141" s="132">
        <v>-35584</v>
      </c>
      <c r="AQ141" s="132">
        <v>-11375</v>
      </c>
      <c r="AR141" s="133">
        <v>0</v>
      </c>
      <c r="AS141" s="133">
        <v>0</v>
      </c>
      <c r="AT141" s="133">
        <v>0</v>
      </c>
      <c r="AV141" s="123">
        <f>SUM(C141:AT141)</f>
        <v>34477</v>
      </c>
    </row>
    <row r="142" spans="1:48" ht="11.25" customHeight="1">
      <c r="A142" s="4" t="s">
        <v>141</v>
      </c>
      <c r="B142" s="4"/>
      <c r="C142" s="133">
        <f aca="true" t="shared" si="21" ref="C142:AT142">SUM(C137:C141)</f>
        <v>34293</v>
      </c>
      <c r="D142" s="133">
        <f t="shared" si="21"/>
        <v>33013</v>
      </c>
      <c r="E142" s="133">
        <f t="shared" si="21"/>
        <v>45572</v>
      </c>
      <c r="F142" s="133">
        <f t="shared" si="21"/>
        <v>83986</v>
      </c>
      <c r="G142" s="133">
        <f t="shared" si="21"/>
        <v>11346</v>
      </c>
      <c r="H142" s="133">
        <f t="shared" si="21"/>
        <v>47549</v>
      </c>
      <c r="I142" s="133">
        <f t="shared" si="21"/>
        <v>750</v>
      </c>
      <c r="J142" s="133">
        <f t="shared" si="21"/>
        <v>1687</v>
      </c>
      <c r="K142" s="133">
        <f t="shared" si="21"/>
        <v>2370</v>
      </c>
      <c r="L142" s="133">
        <f t="shared" si="21"/>
        <v>1385</v>
      </c>
      <c r="M142" s="133">
        <f t="shared" si="21"/>
        <v>1876</v>
      </c>
      <c r="N142" s="133">
        <f t="shared" si="21"/>
        <v>124</v>
      </c>
      <c r="O142" s="133">
        <f t="shared" si="21"/>
        <v>8565</v>
      </c>
      <c r="P142" s="133">
        <f t="shared" si="21"/>
        <v>54460</v>
      </c>
      <c r="Q142" s="133">
        <f t="shared" si="21"/>
        <v>45233</v>
      </c>
      <c r="R142" s="133">
        <f t="shared" si="21"/>
        <v>290554</v>
      </c>
      <c r="S142" s="133">
        <f t="shared" si="21"/>
        <v>176438</v>
      </c>
      <c r="T142" s="133">
        <f t="shared" si="21"/>
        <v>130011</v>
      </c>
      <c r="U142" s="133">
        <f t="shared" si="21"/>
        <v>691</v>
      </c>
      <c r="V142" s="133">
        <f t="shared" si="21"/>
        <v>10840</v>
      </c>
      <c r="W142" s="133">
        <f t="shared" si="21"/>
        <v>3181</v>
      </c>
      <c r="X142" s="133">
        <f t="shared" si="21"/>
        <v>1343</v>
      </c>
      <c r="Y142" s="133">
        <f t="shared" si="21"/>
        <v>75842</v>
      </c>
      <c r="Z142" s="133">
        <f t="shared" si="21"/>
        <v>604326</v>
      </c>
      <c r="AA142" s="133">
        <f t="shared" si="21"/>
        <v>107774</v>
      </c>
      <c r="AB142" s="133">
        <f t="shared" si="21"/>
        <v>371728</v>
      </c>
      <c r="AC142" s="133">
        <f t="shared" si="21"/>
        <v>11384</v>
      </c>
      <c r="AD142" s="133">
        <f t="shared" si="21"/>
        <v>29037</v>
      </c>
      <c r="AE142" s="133">
        <f t="shared" si="21"/>
        <v>7561</v>
      </c>
      <c r="AF142" s="133">
        <f t="shared" si="21"/>
        <v>777</v>
      </c>
      <c r="AG142" s="133">
        <f t="shared" si="21"/>
        <v>248</v>
      </c>
      <c r="AH142" s="133">
        <f t="shared" si="21"/>
        <v>8681</v>
      </c>
      <c r="AI142" s="133">
        <f t="shared" si="21"/>
        <v>1148</v>
      </c>
      <c r="AJ142" s="133">
        <f t="shared" si="21"/>
        <v>6572</v>
      </c>
      <c r="AK142" s="133">
        <f t="shared" si="21"/>
        <v>11551</v>
      </c>
      <c r="AL142" s="133">
        <f t="shared" si="21"/>
        <v>920</v>
      </c>
      <c r="AM142" s="133">
        <f t="shared" si="21"/>
        <v>3870</v>
      </c>
      <c r="AN142" s="133">
        <f t="shared" si="21"/>
        <v>226584</v>
      </c>
      <c r="AO142" s="133">
        <f t="shared" si="21"/>
        <v>-77257</v>
      </c>
      <c r="AP142" s="133">
        <f t="shared" si="21"/>
        <v>63257</v>
      </c>
      <c r="AQ142" s="133">
        <f t="shared" si="21"/>
        <v>97955</v>
      </c>
      <c r="AR142" s="133">
        <f t="shared" si="21"/>
        <v>3636</v>
      </c>
      <c r="AS142" s="133">
        <f t="shared" si="21"/>
        <v>764</v>
      </c>
      <c r="AT142" s="133">
        <f t="shared" si="21"/>
        <v>55429</v>
      </c>
      <c r="AV142" s="123">
        <f>SUM(AV137:AV141)</f>
        <v>2597054</v>
      </c>
    </row>
    <row r="143" spans="1:48" ht="11.25" customHeight="1">
      <c r="A143" s="12"/>
      <c r="B143" s="12"/>
      <c r="C143" s="133"/>
      <c r="D143" s="133"/>
      <c r="E143" s="133"/>
      <c r="F143" s="132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2"/>
      <c r="Z143" s="133"/>
      <c r="AA143" s="133"/>
      <c r="AB143" s="133"/>
      <c r="AC143" s="133"/>
      <c r="AD143" s="133"/>
      <c r="AE143" s="133"/>
      <c r="AF143" s="132"/>
      <c r="AG143" s="133"/>
      <c r="AH143" s="132"/>
      <c r="AI143" s="132"/>
      <c r="AJ143" s="133"/>
      <c r="AK143" s="133"/>
      <c r="AL143" s="133"/>
      <c r="AM143" s="133"/>
      <c r="AN143" s="132"/>
      <c r="AO143" s="132"/>
      <c r="AP143" s="132"/>
      <c r="AQ143" s="132"/>
      <c r="AR143" s="133"/>
      <c r="AS143" s="133"/>
      <c r="AT143" s="133"/>
      <c r="AV143" s="123"/>
    </row>
    <row r="144" spans="1:48" ht="11.25" customHeight="1">
      <c r="A144" s="4" t="s">
        <v>142</v>
      </c>
      <c r="B144" s="4"/>
      <c r="C144" s="133"/>
      <c r="D144" s="133"/>
      <c r="E144" s="133"/>
      <c r="F144" s="132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2"/>
      <c r="Z144" s="133"/>
      <c r="AA144" s="133"/>
      <c r="AB144" s="133"/>
      <c r="AC144" s="133"/>
      <c r="AD144" s="133"/>
      <c r="AE144" s="133"/>
      <c r="AF144" s="132"/>
      <c r="AG144" s="133"/>
      <c r="AH144" s="132"/>
      <c r="AI144" s="132"/>
      <c r="AJ144" s="133"/>
      <c r="AK144" s="133"/>
      <c r="AL144" s="133"/>
      <c r="AM144" s="133"/>
      <c r="AN144" s="132"/>
      <c r="AO144" s="132"/>
      <c r="AP144" s="132"/>
      <c r="AQ144" s="132"/>
      <c r="AR144" s="133"/>
      <c r="AS144" s="133"/>
      <c r="AT144" s="133"/>
      <c r="AV144" s="123"/>
    </row>
    <row r="145" spans="1:48" ht="11.25" customHeight="1">
      <c r="A145" s="4" t="s">
        <v>143</v>
      </c>
      <c r="B145" s="4"/>
      <c r="C145" s="133">
        <f aca="true" t="shared" si="22" ref="C145:AT145">+C134-C142</f>
        <v>2001136</v>
      </c>
      <c r="D145" s="133">
        <f t="shared" si="22"/>
        <v>911733</v>
      </c>
      <c r="E145" s="133">
        <f t="shared" si="22"/>
        <v>93450</v>
      </c>
      <c r="F145" s="133">
        <f t="shared" si="22"/>
        <v>1415644</v>
      </c>
      <c r="G145" s="133">
        <f t="shared" si="22"/>
        <v>313697</v>
      </c>
      <c r="H145" s="133">
        <f t="shared" si="22"/>
        <v>332089</v>
      </c>
      <c r="I145" s="133">
        <f t="shared" si="22"/>
        <v>0</v>
      </c>
      <c r="J145" s="133">
        <f t="shared" si="22"/>
        <v>16645</v>
      </c>
      <c r="K145" s="133">
        <f t="shared" si="22"/>
        <v>23384</v>
      </c>
      <c r="L145" s="133">
        <f t="shared" si="22"/>
        <v>13662</v>
      </c>
      <c r="M145" s="133">
        <f t="shared" si="22"/>
        <v>18515</v>
      </c>
      <c r="N145" s="133">
        <f t="shared" si="22"/>
        <v>1235</v>
      </c>
      <c r="O145" s="133">
        <f t="shared" si="22"/>
        <v>84525</v>
      </c>
      <c r="P145" s="133">
        <f t="shared" si="22"/>
        <v>537382</v>
      </c>
      <c r="Q145" s="133">
        <f t="shared" si="22"/>
        <v>3878113</v>
      </c>
      <c r="R145" s="133">
        <f t="shared" si="22"/>
        <v>8055293</v>
      </c>
      <c r="S145" s="133">
        <f t="shared" si="22"/>
        <v>1262383</v>
      </c>
      <c r="T145" s="133">
        <f t="shared" si="22"/>
        <v>2399680</v>
      </c>
      <c r="U145" s="133">
        <f t="shared" si="22"/>
        <v>6003</v>
      </c>
      <c r="V145" s="133">
        <f t="shared" si="22"/>
        <v>144351</v>
      </c>
      <c r="W145" s="133">
        <f t="shared" si="22"/>
        <v>65688</v>
      </c>
      <c r="X145" s="133">
        <f t="shared" si="22"/>
        <v>40881</v>
      </c>
      <c r="Y145" s="133">
        <f t="shared" si="22"/>
        <v>350861</v>
      </c>
      <c r="Z145" s="133">
        <f t="shared" si="22"/>
        <v>26423734</v>
      </c>
      <c r="AA145" s="133">
        <f t="shared" si="22"/>
        <v>2891257</v>
      </c>
      <c r="AB145" s="133">
        <f t="shared" si="22"/>
        <v>5857937</v>
      </c>
      <c r="AC145" s="133">
        <f t="shared" si="22"/>
        <v>792839</v>
      </c>
      <c r="AD145" s="133">
        <f t="shared" si="22"/>
        <v>1176213</v>
      </c>
      <c r="AE145" s="133">
        <f t="shared" si="22"/>
        <v>61817</v>
      </c>
      <c r="AF145" s="133">
        <f t="shared" si="22"/>
        <v>12100</v>
      </c>
      <c r="AG145" s="133">
        <f t="shared" si="22"/>
        <v>44703</v>
      </c>
      <c r="AH145" s="133">
        <f t="shared" si="22"/>
        <v>1274370</v>
      </c>
      <c r="AI145" s="133">
        <f t="shared" si="22"/>
        <v>34536</v>
      </c>
      <c r="AJ145" s="133">
        <f t="shared" si="22"/>
        <v>20521</v>
      </c>
      <c r="AK145" s="133">
        <f t="shared" si="22"/>
        <v>381606</v>
      </c>
      <c r="AL145" s="133">
        <f t="shared" si="22"/>
        <v>44749</v>
      </c>
      <c r="AM145" s="133">
        <f t="shared" si="22"/>
        <v>10315</v>
      </c>
      <c r="AN145" s="133">
        <f t="shared" si="22"/>
        <v>8635112</v>
      </c>
      <c r="AO145" s="133">
        <f t="shared" si="22"/>
        <v>7378468</v>
      </c>
      <c r="AP145" s="133">
        <f t="shared" si="22"/>
        <v>4260715</v>
      </c>
      <c r="AQ145" s="133">
        <f t="shared" si="22"/>
        <v>1746977</v>
      </c>
      <c r="AR145" s="133">
        <f t="shared" si="22"/>
        <v>12566</v>
      </c>
      <c r="AS145" s="133">
        <f t="shared" si="22"/>
        <v>35231</v>
      </c>
      <c r="AT145" s="133">
        <f t="shared" si="22"/>
        <v>2100405</v>
      </c>
      <c r="AU145" s="133"/>
      <c r="AV145" s="133">
        <f>+AV134-AV142</f>
        <v>85162521</v>
      </c>
    </row>
    <row r="146" spans="1:48" ht="11.25" customHeight="1">
      <c r="A146" s="4"/>
      <c r="B146" s="4"/>
      <c r="C146" s="133"/>
      <c r="D146" s="133"/>
      <c r="E146" s="133"/>
      <c r="F146" s="132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2"/>
      <c r="Z146" s="133"/>
      <c r="AA146" s="133"/>
      <c r="AB146" s="133"/>
      <c r="AC146" s="133"/>
      <c r="AD146" s="133"/>
      <c r="AE146" s="133"/>
      <c r="AF146" s="132"/>
      <c r="AG146" s="133"/>
      <c r="AH146" s="132"/>
      <c r="AI146" s="132"/>
      <c r="AJ146" s="133"/>
      <c r="AK146" s="133"/>
      <c r="AL146" s="133"/>
      <c r="AM146" s="133"/>
      <c r="AN146" s="132"/>
      <c r="AO146" s="132"/>
      <c r="AP146" s="132"/>
      <c r="AQ146" s="132"/>
      <c r="AR146" s="133"/>
      <c r="AS146" s="133"/>
      <c r="AT146" s="133"/>
      <c r="AV146" s="123"/>
    </row>
    <row r="147" spans="1:48" ht="11.25" customHeight="1" outlineLevel="1">
      <c r="A147" s="4" t="s">
        <v>144</v>
      </c>
      <c r="B147" s="4"/>
      <c r="C147" s="133"/>
      <c r="D147" s="133"/>
      <c r="E147" s="133"/>
      <c r="F147" s="132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2"/>
      <c r="Z147" s="133"/>
      <c r="AA147" s="133"/>
      <c r="AB147" s="133"/>
      <c r="AC147" s="133"/>
      <c r="AD147" s="133"/>
      <c r="AE147" s="133"/>
      <c r="AF147" s="132"/>
      <c r="AG147" s="133"/>
      <c r="AH147" s="132"/>
      <c r="AI147" s="132"/>
      <c r="AJ147" s="133"/>
      <c r="AK147" s="133"/>
      <c r="AL147" s="133"/>
      <c r="AM147" s="133"/>
      <c r="AN147" s="132"/>
      <c r="AO147" s="132"/>
      <c r="AP147" s="132"/>
      <c r="AQ147" s="132"/>
      <c r="AR147" s="133"/>
      <c r="AS147" s="133"/>
      <c r="AT147" s="133"/>
      <c r="AV147" s="123"/>
    </row>
    <row r="148" spans="1:48" ht="11.25" customHeight="1" outlineLevel="1">
      <c r="A148" s="6" t="s">
        <v>145</v>
      </c>
      <c r="B148" s="6"/>
      <c r="C148" s="132">
        <v>1959583</v>
      </c>
      <c r="D148" s="132">
        <v>867420</v>
      </c>
      <c r="E148" s="132">
        <v>0</v>
      </c>
      <c r="F148" s="132">
        <v>947233</v>
      </c>
      <c r="G148" s="132">
        <v>117927</v>
      </c>
      <c r="H148" s="132">
        <v>171234</v>
      </c>
      <c r="I148" s="133">
        <v>0</v>
      </c>
      <c r="J148" s="132">
        <v>3014</v>
      </c>
      <c r="K148" s="132">
        <v>4234</v>
      </c>
      <c r="L148" s="132">
        <v>2474</v>
      </c>
      <c r="M148" s="132">
        <v>3353</v>
      </c>
      <c r="N148" s="132">
        <v>223</v>
      </c>
      <c r="O148" s="132">
        <v>15305</v>
      </c>
      <c r="P148" s="132">
        <v>97303</v>
      </c>
      <c r="Q148" s="132">
        <v>3508481</v>
      </c>
      <c r="R148" s="132">
        <v>5428727</v>
      </c>
      <c r="S148" s="132">
        <v>1023768</v>
      </c>
      <c r="T148" s="132">
        <v>2050539</v>
      </c>
      <c r="U148" s="133">
        <v>0</v>
      </c>
      <c r="V148" s="132">
        <v>0</v>
      </c>
      <c r="W148" s="132">
        <v>7711</v>
      </c>
      <c r="X148" s="132">
        <v>5768</v>
      </c>
      <c r="Y148" s="132">
        <v>112106</v>
      </c>
      <c r="Z148" s="132">
        <v>19993175</v>
      </c>
      <c r="AA148" s="132">
        <v>1928631</v>
      </c>
      <c r="AB148" s="132">
        <v>938622</v>
      </c>
      <c r="AC148" s="132">
        <v>108876</v>
      </c>
      <c r="AD148" s="132">
        <v>590079</v>
      </c>
      <c r="AE148" s="132">
        <v>61817</v>
      </c>
      <c r="AF148" s="132">
        <v>12483</v>
      </c>
      <c r="AG148" s="132">
        <v>44800</v>
      </c>
      <c r="AH148" s="132">
        <v>1301259</v>
      </c>
      <c r="AI148" s="132">
        <v>34531</v>
      </c>
      <c r="AJ148" s="132">
        <v>25230</v>
      </c>
      <c r="AK148" s="132">
        <v>353656</v>
      </c>
      <c r="AL148" s="132">
        <v>43645</v>
      </c>
      <c r="AM148" s="133">
        <v>0</v>
      </c>
      <c r="AN148" s="132">
        <v>8652058</v>
      </c>
      <c r="AO148" s="132">
        <v>7169999</v>
      </c>
      <c r="AP148" s="132">
        <v>4216950</v>
      </c>
      <c r="AQ148" s="133">
        <v>0</v>
      </c>
      <c r="AR148" s="132">
        <v>5533</v>
      </c>
      <c r="AS148" s="132">
        <v>21442</v>
      </c>
      <c r="AT148" s="132">
        <v>2057978</v>
      </c>
      <c r="AV148" s="123">
        <f aca="true" t="shared" si="23" ref="AV148:AV154">SUM(C148:AT148)</f>
        <v>63887167</v>
      </c>
    </row>
    <row r="149" spans="1:48" ht="11.25" customHeight="1" outlineLevel="1">
      <c r="A149" s="6" t="s">
        <v>146</v>
      </c>
      <c r="B149" s="6"/>
      <c r="C149" s="132">
        <v>40784</v>
      </c>
      <c r="D149" s="132">
        <v>17669</v>
      </c>
      <c r="E149" s="132">
        <v>0</v>
      </c>
      <c r="F149" s="132">
        <v>367371</v>
      </c>
      <c r="G149" s="132">
        <v>128772</v>
      </c>
      <c r="H149" s="132">
        <v>114048</v>
      </c>
      <c r="I149" s="133">
        <v>0</v>
      </c>
      <c r="J149" s="132">
        <v>6662</v>
      </c>
      <c r="K149" s="132">
        <v>9359</v>
      </c>
      <c r="L149" s="132">
        <v>5468</v>
      </c>
      <c r="M149" s="132">
        <v>7410</v>
      </c>
      <c r="N149" s="132">
        <v>494</v>
      </c>
      <c r="O149" s="132">
        <v>33829</v>
      </c>
      <c r="P149" s="132">
        <v>215073</v>
      </c>
      <c r="Q149" s="132">
        <v>321146</v>
      </c>
      <c r="R149" s="132">
        <v>2478311</v>
      </c>
      <c r="S149" s="132">
        <v>219727</v>
      </c>
      <c r="T149" s="132">
        <v>0</v>
      </c>
      <c r="U149" s="133">
        <v>0</v>
      </c>
      <c r="V149" s="132">
        <v>50365</v>
      </c>
      <c r="W149" s="132">
        <v>18086</v>
      </c>
      <c r="X149" s="132">
        <v>28085</v>
      </c>
      <c r="Y149" s="132">
        <v>187293</v>
      </c>
      <c r="Z149" s="132">
        <v>7520400</v>
      </c>
      <c r="AA149" s="132">
        <v>1043819</v>
      </c>
      <c r="AB149" s="132">
        <v>8614281</v>
      </c>
      <c r="AC149" s="132">
        <v>683963</v>
      </c>
      <c r="AD149" s="132">
        <v>586134</v>
      </c>
      <c r="AE149" s="133">
        <v>0</v>
      </c>
      <c r="AF149" s="132">
        <v>0</v>
      </c>
      <c r="AG149" s="133">
        <v>0</v>
      </c>
      <c r="AH149" s="133">
        <v>0</v>
      </c>
      <c r="AI149" s="133">
        <v>0</v>
      </c>
      <c r="AJ149" s="133">
        <v>0</v>
      </c>
      <c r="AK149" s="132">
        <v>38387</v>
      </c>
      <c r="AL149" s="133">
        <v>0</v>
      </c>
      <c r="AM149" s="133">
        <v>0</v>
      </c>
      <c r="AN149" s="132">
        <v>205190</v>
      </c>
      <c r="AO149" s="132">
        <v>301571</v>
      </c>
      <c r="AP149" s="132">
        <v>59265</v>
      </c>
      <c r="AQ149" s="133">
        <v>0</v>
      </c>
      <c r="AR149" s="132">
        <v>7032</v>
      </c>
      <c r="AS149" s="132">
        <v>13788</v>
      </c>
      <c r="AT149" s="132">
        <v>40000</v>
      </c>
      <c r="AV149" s="123">
        <f t="shared" si="23"/>
        <v>23363782</v>
      </c>
    </row>
    <row r="150" spans="1:48" ht="11.25" customHeight="1" outlineLevel="1">
      <c r="A150" s="6" t="s">
        <v>147</v>
      </c>
      <c r="B150" s="6"/>
      <c r="C150" s="133">
        <v>0</v>
      </c>
      <c r="D150" s="133">
        <v>0</v>
      </c>
      <c r="E150" s="133">
        <v>0</v>
      </c>
      <c r="F150" s="132">
        <v>140130</v>
      </c>
      <c r="G150" s="133">
        <v>0</v>
      </c>
      <c r="H150" s="133">
        <v>0</v>
      </c>
      <c r="I150" s="133">
        <v>0</v>
      </c>
      <c r="J150" s="132">
        <v>7028</v>
      </c>
      <c r="K150" s="132">
        <v>9873</v>
      </c>
      <c r="L150" s="132">
        <v>5769</v>
      </c>
      <c r="M150" s="132">
        <v>7817</v>
      </c>
      <c r="N150" s="132">
        <v>521</v>
      </c>
      <c r="O150" s="132">
        <v>35688</v>
      </c>
      <c r="P150" s="132">
        <v>226895</v>
      </c>
      <c r="Q150" s="133">
        <v>0</v>
      </c>
      <c r="R150" s="133">
        <v>0</v>
      </c>
      <c r="S150" s="133">
        <v>0</v>
      </c>
      <c r="T150" s="133">
        <v>0</v>
      </c>
      <c r="U150" s="133">
        <v>0</v>
      </c>
      <c r="V150" s="132">
        <v>113032</v>
      </c>
      <c r="W150" s="132">
        <v>41250</v>
      </c>
      <c r="X150" s="133">
        <v>0</v>
      </c>
      <c r="Y150" s="132">
        <v>59834</v>
      </c>
      <c r="Z150" s="132">
        <v>137341</v>
      </c>
      <c r="AA150" s="133">
        <v>0</v>
      </c>
      <c r="AB150" s="133">
        <v>0</v>
      </c>
      <c r="AC150" s="133">
        <v>0</v>
      </c>
      <c r="AD150" s="132">
        <v>0</v>
      </c>
      <c r="AE150" s="133">
        <v>0</v>
      </c>
      <c r="AF150" s="132">
        <v>0</v>
      </c>
      <c r="AG150" s="133">
        <v>0</v>
      </c>
      <c r="AH150" s="133">
        <v>0</v>
      </c>
      <c r="AI150" s="133">
        <v>0</v>
      </c>
      <c r="AJ150" s="133">
        <v>0</v>
      </c>
      <c r="AK150" s="133">
        <v>0</v>
      </c>
      <c r="AL150" s="133">
        <v>0</v>
      </c>
      <c r="AM150" s="133">
        <v>0</v>
      </c>
      <c r="AN150" s="133">
        <v>0</v>
      </c>
      <c r="AO150" s="133">
        <v>0</v>
      </c>
      <c r="AP150" s="133">
        <v>0</v>
      </c>
      <c r="AQ150" s="133">
        <v>0</v>
      </c>
      <c r="AR150" s="133">
        <v>0</v>
      </c>
      <c r="AS150" s="133">
        <v>0</v>
      </c>
      <c r="AT150" s="133">
        <v>0</v>
      </c>
      <c r="AV150" s="123">
        <f t="shared" si="23"/>
        <v>785178</v>
      </c>
    </row>
    <row r="151" spans="1:48" ht="11.25" customHeight="1" outlineLevel="1">
      <c r="A151" s="6" t="s">
        <v>148</v>
      </c>
      <c r="B151" s="6"/>
      <c r="C151" s="133">
        <v>0</v>
      </c>
      <c r="D151" s="133">
        <v>0</v>
      </c>
      <c r="E151" s="133">
        <v>0</v>
      </c>
      <c r="F151" s="132">
        <v>0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2">
        <v>352736</v>
      </c>
      <c r="U151" s="132">
        <v>6003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2">
        <v>-4151646</v>
      </c>
      <c r="AC151" s="133">
        <v>0</v>
      </c>
      <c r="AD151" s="133">
        <v>0</v>
      </c>
      <c r="AE151" s="133">
        <v>0</v>
      </c>
      <c r="AF151" s="132">
        <v>0</v>
      </c>
      <c r="AG151" s="133">
        <v>0</v>
      </c>
      <c r="AH151" s="133">
        <v>0</v>
      </c>
      <c r="AI151" s="133">
        <v>0</v>
      </c>
      <c r="AJ151" s="133">
        <v>0</v>
      </c>
      <c r="AK151" s="133">
        <v>0</v>
      </c>
      <c r="AL151" s="133">
        <v>0</v>
      </c>
      <c r="AM151" s="132">
        <v>10315</v>
      </c>
      <c r="AN151" s="132">
        <v>-195400</v>
      </c>
      <c r="AO151" s="132">
        <v>-93075</v>
      </c>
      <c r="AP151" s="132">
        <v>0</v>
      </c>
      <c r="AQ151" s="132">
        <v>1746977</v>
      </c>
      <c r="AR151" s="133">
        <v>0</v>
      </c>
      <c r="AS151" s="133">
        <v>0</v>
      </c>
      <c r="AT151" s="133">
        <v>0</v>
      </c>
      <c r="AV151" s="123">
        <f t="shared" si="23"/>
        <v>-2324090</v>
      </c>
    </row>
    <row r="152" spans="1:48" ht="11.25" customHeight="1" outlineLevel="1">
      <c r="A152" s="6" t="s">
        <v>149</v>
      </c>
      <c r="B152" s="6"/>
      <c r="C152" s="132">
        <v>0</v>
      </c>
      <c r="D152" s="132">
        <v>0</v>
      </c>
      <c r="E152" s="132">
        <v>91273</v>
      </c>
      <c r="F152" s="132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33">
        <v>0</v>
      </c>
      <c r="Q152" s="133">
        <v>0</v>
      </c>
      <c r="R152" s="133">
        <v>0</v>
      </c>
      <c r="S152" s="133">
        <v>0</v>
      </c>
      <c r="T152" s="133">
        <v>0</v>
      </c>
      <c r="U152" s="133">
        <v>0</v>
      </c>
      <c r="V152" s="133">
        <v>0</v>
      </c>
      <c r="W152" s="133">
        <v>0</v>
      </c>
      <c r="X152" s="133">
        <v>0</v>
      </c>
      <c r="Y152" s="133">
        <v>0</v>
      </c>
      <c r="Z152" s="133">
        <v>0</v>
      </c>
      <c r="AA152" s="133">
        <v>0</v>
      </c>
      <c r="AB152" s="133">
        <v>0</v>
      </c>
      <c r="AC152" s="133">
        <v>0</v>
      </c>
      <c r="AD152" s="133">
        <v>0</v>
      </c>
      <c r="AE152" s="133">
        <v>0</v>
      </c>
      <c r="AF152" s="132">
        <v>0</v>
      </c>
      <c r="AG152" s="133">
        <v>0</v>
      </c>
      <c r="AH152" s="133">
        <v>0</v>
      </c>
      <c r="AI152" s="133">
        <v>0</v>
      </c>
      <c r="AJ152" s="133">
        <v>0</v>
      </c>
      <c r="AK152" s="133">
        <v>0</v>
      </c>
      <c r="AL152" s="133">
        <v>0</v>
      </c>
      <c r="AM152" s="133">
        <v>0</v>
      </c>
      <c r="AN152" s="133">
        <v>0</v>
      </c>
      <c r="AO152" s="133">
        <v>0</v>
      </c>
      <c r="AP152" s="133">
        <v>0</v>
      </c>
      <c r="AQ152" s="133">
        <v>0</v>
      </c>
      <c r="AR152" s="133">
        <v>0</v>
      </c>
      <c r="AS152" s="133">
        <v>0</v>
      </c>
      <c r="AT152" s="133">
        <v>0</v>
      </c>
      <c r="AV152" s="123">
        <f t="shared" si="23"/>
        <v>91273</v>
      </c>
    </row>
    <row r="153" spans="1:48" ht="11.25" customHeight="1" outlineLevel="1">
      <c r="A153" s="6" t="s">
        <v>150</v>
      </c>
      <c r="B153" s="6"/>
      <c r="C153" s="133">
        <v>0</v>
      </c>
      <c r="D153" s="133">
        <v>0</v>
      </c>
      <c r="E153" s="133">
        <v>0</v>
      </c>
      <c r="F153" s="132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3">
        <v>0</v>
      </c>
      <c r="Z153" s="133">
        <v>0</v>
      </c>
      <c r="AA153" s="133">
        <v>0</v>
      </c>
      <c r="AB153" s="133">
        <v>0</v>
      </c>
      <c r="AC153" s="133">
        <v>0</v>
      </c>
      <c r="AD153" s="133">
        <v>0</v>
      </c>
      <c r="AE153" s="133">
        <v>0</v>
      </c>
      <c r="AF153" s="132">
        <v>0</v>
      </c>
      <c r="AG153" s="133">
        <v>0</v>
      </c>
      <c r="AH153" s="133">
        <v>0</v>
      </c>
      <c r="AI153" s="133">
        <v>0</v>
      </c>
      <c r="AJ153" s="133">
        <v>0</v>
      </c>
      <c r="AK153" s="133">
        <v>0</v>
      </c>
      <c r="AL153" s="133">
        <v>0</v>
      </c>
      <c r="AM153" s="133">
        <v>0</v>
      </c>
      <c r="AN153" s="133">
        <v>0</v>
      </c>
      <c r="AO153" s="133">
        <v>0</v>
      </c>
      <c r="AP153" s="133">
        <v>0</v>
      </c>
      <c r="AQ153" s="133">
        <v>0</v>
      </c>
      <c r="AR153" s="133">
        <v>0</v>
      </c>
      <c r="AS153" s="133">
        <v>0</v>
      </c>
      <c r="AT153" s="133">
        <v>0</v>
      </c>
      <c r="AV153" s="123">
        <f t="shared" si="23"/>
        <v>0</v>
      </c>
    </row>
    <row r="154" spans="1:48" ht="11.25" customHeight="1" outlineLevel="1">
      <c r="A154" s="6" t="s">
        <v>151</v>
      </c>
      <c r="B154" s="6"/>
      <c r="C154" s="133">
        <v>0</v>
      </c>
      <c r="D154" s="133">
        <v>0</v>
      </c>
      <c r="E154" s="133">
        <v>0</v>
      </c>
      <c r="F154" s="132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0</v>
      </c>
      <c r="AD154" s="133">
        <v>0</v>
      </c>
      <c r="AE154" s="133">
        <v>0</v>
      </c>
      <c r="AF154" s="132">
        <v>0</v>
      </c>
      <c r="AG154" s="133">
        <v>0</v>
      </c>
      <c r="AH154" s="133">
        <v>0</v>
      </c>
      <c r="AI154" s="133">
        <v>0</v>
      </c>
      <c r="AJ154" s="133">
        <v>0</v>
      </c>
      <c r="AK154" s="133">
        <v>0</v>
      </c>
      <c r="AL154" s="133">
        <v>0</v>
      </c>
      <c r="AM154" s="133">
        <v>0</v>
      </c>
      <c r="AN154" s="133">
        <v>0</v>
      </c>
      <c r="AO154" s="133">
        <v>0</v>
      </c>
      <c r="AP154" s="133">
        <v>0</v>
      </c>
      <c r="AQ154" s="133">
        <v>0</v>
      </c>
      <c r="AR154" s="133">
        <v>0</v>
      </c>
      <c r="AS154" s="133">
        <v>0</v>
      </c>
      <c r="AT154" s="133">
        <v>0</v>
      </c>
      <c r="AV154" s="123">
        <f t="shared" si="23"/>
        <v>0</v>
      </c>
    </row>
    <row r="155" spans="1:48" ht="11.25" customHeight="1">
      <c r="A155" s="4" t="s">
        <v>152</v>
      </c>
      <c r="B155" s="4"/>
      <c r="C155" s="133">
        <f aca="true" t="shared" si="24" ref="C155:AT155">SUM(C148:C154)</f>
        <v>2000367</v>
      </c>
      <c r="D155" s="133">
        <f t="shared" si="24"/>
        <v>885089</v>
      </c>
      <c r="E155" s="133">
        <f t="shared" si="24"/>
        <v>91273</v>
      </c>
      <c r="F155" s="133">
        <f t="shared" si="24"/>
        <v>1454734</v>
      </c>
      <c r="G155" s="133">
        <f t="shared" si="24"/>
        <v>246699</v>
      </c>
      <c r="H155" s="133">
        <f t="shared" si="24"/>
        <v>285282</v>
      </c>
      <c r="I155" s="133">
        <f t="shared" si="24"/>
        <v>0</v>
      </c>
      <c r="J155" s="133">
        <f t="shared" si="24"/>
        <v>16704</v>
      </c>
      <c r="K155" s="133">
        <f t="shared" si="24"/>
        <v>23466</v>
      </c>
      <c r="L155" s="133">
        <f t="shared" si="24"/>
        <v>13711</v>
      </c>
      <c r="M155" s="133">
        <f t="shared" si="24"/>
        <v>18580</v>
      </c>
      <c r="N155" s="133">
        <f t="shared" si="24"/>
        <v>1238</v>
      </c>
      <c r="O155" s="133">
        <f t="shared" si="24"/>
        <v>84822</v>
      </c>
      <c r="P155" s="133">
        <f t="shared" si="24"/>
        <v>539271</v>
      </c>
      <c r="Q155" s="133">
        <f t="shared" si="24"/>
        <v>3829627</v>
      </c>
      <c r="R155" s="133">
        <f t="shared" si="24"/>
        <v>7907038</v>
      </c>
      <c r="S155" s="133">
        <f t="shared" si="24"/>
        <v>1243495</v>
      </c>
      <c r="T155" s="133">
        <f t="shared" si="24"/>
        <v>2403275</v>
      </c>
      <c r="U155" s="133">
        <f t="shared" si="24"/>
        <v>6003</v>
      </c>
      <c r="V155" s="133">
        <f t="shared" si="24"/>
        <v>163397</v>
      </c>
      <c r="W155" s="133">
        <f t="shared" si="24"/>
        <v>67047</v>
      </c>
      <c r="X155" s="133">
        <f t="shared" si="24"/>
        <v>33853</v>
      </c>
      <c r="Y155" s="133">
        <f t="shared" si="24"/>
        <v>359233</v>
      </c>
      <c r="Z155" s="133">
        <f t="shared" si="24"/>
        <v>27650916</v>
      </c>
      <c r="AA155" s="133">
        <f t="shared" si="24"/>
        <v>2972450</v>
      </c>
      <c r="AB155" s="133">
        <f t="shared" si="24"/>
        <v>5401257</v>
      </c>
      <c r="AC155" s="133">
        <f t="shared" si="24"/>
        <v>792839</v>
      </c>
      <c r="AD155" s="133">
        <f t="shared" si="24"/>
        <v>1176213</v>
      </c>
      <c r="AE155" s="133">
        <f t="shared" si="24"/>
        <v>61817</v>
      </c>
      <c r="AF155" s="133">
        <f t="shared" si="24"/>
        <v>12483</v>
      </c>
      <c r="AG155" s="133">
        <f t="shared" si="24"/>
        <v>44800</v>
      </c>
      <c r="AH155" s="133">
        <f t="shared" si="24"/>
        <v>1301259</v>
      </c>
      <c r="AI155" s="133">
        <f t="shared" si="24"/>
        <v>34531</v>
      </c>
      <c r="AJ155" s="133">
        <f t="shared" si="24"/>
        <v>25230</v>
      </c>
      <c r="AK155" s="133">
        <f t="shared" si="24"/>
        <v>392043</v>
      </c>
      <c r="AL155" s="133">
        <f t="shared" si="24"/>
        <v>43645</v>
      </c>
      <c r="AM155" s="133">
        <f t="shared" si="24"/>
        <v>10315</v>
      </c>
      <c r="AN155" s="133">
        <f t="shared" si="24"/>
        <v>8661848</v>
      </c>
      <c r="AO155" s="133">
        <f t="shared" si="24"/>
        <v>7378495</v>
      </c>
      <c r="AP155" s="133">
        <f t="shared" si="24"/>
        <v>4276215</v>
      </c>
      <c r="AQ155" s="133">
        <f t="shared" si="24"/>
        <v>1746977</v>
      </c>
      <c r="AR155" s="133">
        <f t="shared" si="24"/>
        <v>12565</v>
      </c>
      <c r="AS155" s="133">
        <f t="shared" si="24"/>
        <v>35230</v>
      </c>
      <c r="AT155" s="133">
        <f t="shared" si="24"/>
        <v>2097978</v>
      </c>
      <c r="AV155" s="123">
        <f>SUM(AV148:AV154)</f>
        <v>85803310</v>
      </c>
    </row>
    <row r="156" spans="1:48" ht="11.25" customHeight="1">
      <c r="A156" s="6"/>
      <c r="B156" s="6"/>
      <c r="C156" s="133"/>
      <c r="D156" s="133"/>
      <c r="E156" s="133"/>
      <c r="F156" s="132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2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V156" s="123"/>
    </row>
    <row r="157" spans="1:48" ht="11.25" customHeight="1">
      <c r="A157" s="4" t="s">
        <v>153</v>
      </c>
      <c r="B157" s="4"/>
      <c r="C157" s="133">
        <f aca="true" t="shared" si="25" ref="C157:AT157">+C145-C155</f>
        <v>769</v>
      </c>
      <c r="D157" s="133">
        <f t="shared" si="25"/>
        <v>26644</v>
      </c>
      <c r="E157" s="133">
        <f t="shared" si="25"/>
        <v>2177</v>
      </c>
      <c r="F157" s="133">
        <f t="shared" si="25"/>
        <v>-39090</v>
      </c>
      <c r="G157" s="133">
        <f t="shared" si="25"/>
        <v>66998</v>
      </c>
      <c r="H157" s="133">
        <f t="shared" si="25"/>
        <v>46807</v>
      </c>
      <c r="I157" s="133">
        <f t="shared" si="25"/>
        <v>0</v>
      </c>
      <c r="J157" s="133">
        <f t="shared" si="25"/>
        <v>-59</v>
      </c>
      <c r="K157" s="133">
        <f t="shared" si="25"/>
        <v>-82</v>
      </c>
      <c r="L157" s="133">
        <f t="shared" si="25"/>
        <v>-49</v>
      </c>
      <c r="M157" s="133">
        <f t="shared" si="25"/>
        <v>-65</v>
      </c>
      <c r="N157" s="133">
        <f t="shared" si="25"/>
        <v>-3</v>
      </c>
      <c r="O157" s="133">
        <f t="shared" si="25"/>
        <v>-297</v>
      </c>
      <c r="P157" s="133">
        <f t="shared" si="25"/>
        <v>-1889</v>
      </c>
      <c r="Q157" s="133">
        <f t="shared" si="25"/>
        <v>48486</v>
      </c>
      <c r="R157" s="133">
        <f t="shared" si="25"/>
        <v>148255</v>
      </c>
      <c r="S157" s="133">
        <f t="shared" si="25"/>
        <v>18888</v>
      </c>
      <c r="T157" s="133">
        <f t="shared" si="25"/>
        <v>-3595</v>
      </c>
      <c r="U157" s="133">
        <f t="shared" si="25"/>
        <v>0</v>
      </c>
      <c r="V157" s="133">
        <f t="shared" si="25"/>
        <v>-19046</v>
      </c>
      <c r="W157" s="133">
        <f t="shared" si="25"/>
        <v>-1359</v>
      </c>
      <c r="X157" s="133">
        <f t="shared" si="25"/>
        <v>7028</v>
      </c>
      <c r="Y157" s="133">
        <f t="shared" si="25"/>
        <v>-8372</v>
      </c>
      <c r="Z157" s="133">
        <f t="shared" si="25"/>
        <v>-1227182</v>
      </c>
      <c r="AA157" s="133">
        <f t="shared" si="25"/>
        <v>-81193</v>
      </c>
      <c r="AB157" s="133">
        <f t="shared" si="25"/>
        <v>456680</v>
      </c>
      <c r="AC157" s="133">
        <f t="shared" si="25"/>
        <v>0</v>
      </c>
      <c r="AD157" s="133">
        <f t="shared" si="25"/>
        <v>0</v>
      </c>
      <c r="AE157" s="133">
        <f t="shared" si="25"/>
        <v>0</v>
      </c>
      <c r="AF157" s="133">
        <f t="shared" si="25"/>
        <v>-383</v>
      </c>
      <c r="AG157" s="133">
        <f t="shared" si="25"/>
        <v>-97</v>
      </c>
      <c r="AH157" s="133">
        <f t="shared" si="25"/>
        <v>-26889</v>
      </c>
      <c r="AI157" s="133">
        <f t="shared" si="25"/>
        <v>5</v>
      </c>
      <c r="AJ157" s="133">
        <f t="shared" si="25"/>
        <v>-4709</v>
      </c>
      <c r="AK157" s="133">
        <f t="shared" si="25"/>
        <v>-10437</v>
      </c>
      <c r="AL157" s="133">
        <f t="shared" si="25"/>
        <v>1104</v>
      </c>
      <c r="AM157" s="133">
        <f t="shared" si="25"/>
        <v>0</v>
      </c>
      <c r="AN157" s="133">
        <f t="shared" si="25"/>
        <v>-26736</v>
      </c>
      <c r="AO157" s="133">
        <f t="shared" si="25"/>
        <v>-27</v>
      </c>
      <c r="AP157" s="133">
        <f t="shared" si="25"/>
        <v>-15500</v>
      </c>
      <c r="AQ157" s="133">
        <f t="shared" si="25"/>
        <v>0</v>
      </c>
      <c r="AR157" s="133">
        <f t="shared" si="25"/>
        <v>1</v>
      </c>
      <c r="AS157" s="133">
        <f t="shared" si="25"/>
        <v>1</v>
      </c>
      <c r="AT157" s="133">
        <f t="shared" si="25"/>
        <v>2427</v>
      </c>
      <c r="AU157" s="133"/>
      <c r="AV157" s="133">
        <f>+AV145-AV155</f>
        <v>-640789</v>
      </c>
    </row>
    <row r="158" spans="1:48" ht="11.25" customHeight="1">
      <c r="A158" s="4"/>
      <c r="B158" s="4"/>
      <c r="C158" s="133"/>
      <c r="D158" s="133"/>
      <c r="E158" s="133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2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V158" s="123"/>
    </row>
    <row r="159" spans="1:48" ht="11.25" customHeight="1">
      <c r="A159" s="4" t="s">
        <v>154</v>
      </c>
      <c r="B159" s="4"/>
      <c r="C159" s="132">
        <v>47468</v>
      </c>
      <c r="D159" s="132">
        <v>22126</v>
      </c>
      <c r="E159" s="132">
        <v>2983</v>
      </c>
      <c r="F159" s="132">
        <v>75878</v>
      </c>
      <c r="G159" s="132">
        <v>36023</v>
      </c>
      <c r="H159" s="132">
        <v>40626</v>
      </c>
      <c r="I159" s="133">
        <v>0</v>
      </c>
      <c r="J159" s="132">
        <v>59</v>
      </c>
      <c r="K159" s="132">
        <v>82</v>
      </c>
      <c r="L159" s="132">
        <v>48</v>
      </c>
      <c r="M159" s="132">
        <v>65</v>
      </c>
      <c r="N159" s="132">
        <v>4</v>
      </c>
      <c r="O159" s="132">
        <v>802</v>
      </c>
      <c r="P159" s="132">
        <v>8191</v>
      </c>
      <c r="Q159" s="132">
        <v>34757</v>
      </c>
      <c r="R159" s="132">
        <v>84652</v>
      </c>
      <c r="S159" s="132">
        <v>5476</v>
      </c>
      <c r="T159" s="132">
        <v>8454</v>
      </c>
      <c r="U159" s="132">
        <v>0</v>
      </c>
      <c r="V159" s="132">
        <v>48770</v>
      </c>
      <c r="W159" s="132">
        <v>12751</v>
      </c>
      <c r="X159" s="132">
        <v>3054</v>
      </c>
      <c r="Y159" s="132">
        <v>28134</v>
      </c>
      <c r="Z159" s="132">
        <v>1290684</v>
      </c>
      <c r="AA159" s="132">
        <v>95782</v>
      </c>
      <c r="AB159" s="132">
        <v>0</v>
      </c>
      <c r="AC159" s="133">
        <v>0</v>
      </c>
      <c r="AD159" s="133">
        <v>0</v>
      </c>
      <c r="AE159" s="133">
        <v>0</v>
      </c>
      <c r="AF159" s="132">
        <v>550</v>
      </c>
      <c r="AG159" s="132">
        <v>161</v>
      </c>
      <c r="AH159" s="132">
        <v>27014</v>
      </c>
      <c r="AI159" s="132">
        <v>0</v>
      </c>
      <c r="AJ159" s="132">
        <v>9042</v>
      </c>
      <c r="AK159" s="132">
        <v>15109</v>
      </c>
      <c r="AL159" s="132">
        <v>180</v>
      </c>
      <c r="AM159" s="133">
        <v>0</v>
      </c>
      <c r="AN159" s="132">
        <v>47183</v>
      </c>
      <c r="AO159" s="132">
        <v>3272</v>
      </c>
      <c r="AP159" s="132">
        <v>18568</v>
      </c>
      <c r="AQ159" s="133">
        <v>0</v>
      </c>
      <c r="AR159" s="133">
        <v>0</v>
      </c>
      <c r="AS159" s="133">
        <v>0</v>
      </c>
      <c r="AT159" s="132">
        <v>2449</v>
      </c>
      <c r="AV159" s="123">
        <f>SUM(C159:AT159)</f>
        <v>1970397</v>
      </c>
    </row>
    <row r="160" spans="1:48" ht="11.25" customHeight="1">
      <c r="A160" s="6"/>
      <c r="B160" s="6"/>
      <c r="C160" s="132"/>
      <c r="D160" s="132"/>
      <c r="E160" s="132"/>
      <c r="F160" s="132"/>
      <c r="G160" s="132"/>
      <c r="H160" s="132"/>
      <c r="I160" s="133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3"/>
      <c r="AD160" s="133"/>
      <c r="AE160" s="133"/>
      <c r="AF160" s="132"/>
      <c r="AG160" s="132"/>
      <c r="AH160" s="132"/>
      <c r="AI160" s="132"/>
      <c r="AJ160" s="132"/>
      <c r="AK160" s="132"/>
      <c r="AL160" s="132"/>
      <c r="AM160" s="133"/>
      <c r="AN160" s="132"/>
      <c r="AO160" s="132"/>
      <c r="AP160" s="132"/>
      <c r="AQ160" s="133"/>
      <c r="AR160" s="133"/>
      <c r="AS160" s="133"/>
      <c r="AT160" s="132"/>
      <c r="AV160" s="123"/>
    </row>
    <row r="161" spans="1:49" s="37" customFormat="1" ht="11.25" customHeight="1">
      <c r="A161" s="8" t="s">
        <v>155</v>
      </c>
      <c r="B161" s="8"/>
      <c r="C161" s="355">
        <f aca="true" t="shared" si="26" ref="C161:AT161">+C157+C159</f>
        <v>48237</v>
      </c>
      <c r="D161" s="355">
        <f t="shared" si="26"/>
        <v>48770</v>
      </c>
      <c r="E161" s="355">
        <f t="shared" si="26"/>
        <v>5160</v>
      </c>
      <c r="F161" s="355">
        <f t="shared" si="26"/>
        <v>36788</v>
      </c>
      <c r="G161" s="355">
        <f t="shared" si="26"/>
        <v>103021</v>
      </c>
      <c r="H161" s="355">
        <f t="shared" si="26"/>
        <v>87433</v>
      </c>
      <c r="I161" s="355">
        <f t="shared" si="26"/>
        <v>0</v>
      </c>
      <c r="J161" s="355">
        <f t="shared" si="26"/>
        <v>0</v>
      </c>
      <c r="K161" s="355">
        <f t="shared" si="26"/>
        <v>0</v>
      </c>
      <c r="L161" s="355">
        <f t="shared" si="26"/>
        <v>-1</v>
      </c>
      <c r="M161" s="355">
        <f t="shared" si="26"/>
        <v>0</v>
      </c>
      <c r="N161" s="355">
        <f t="shared" si="26"/>
        <v>1</v>
      </c>
      <c r="O161" s="355">
        <f t="shared" si="26"/>
        <v>505</v>
      </c>
      <c r="P161" s="355">
        <f t="shared" si="26"/>
        <v>6302</v>
      </c>
      <c r="Q161" s="355">
        <f t="shared" si="26"/>
        <v>83243</v>
      </c>
      <c r="R161" s="355">
        <f t="shared" si="26"/>
        <v>232907</v>
      </c>
      <c r="S161" s="355">
        <f t="shared" si="26"/>
        <v>24364</v>
      </c>
      <c r="T161" s="355">
        <f t="shared" si="26"/>
        <v>4859</v>
      </c>
      <c r="U161" s="355">
        <f t="shared" si="26"/>
        <v>0</v>
      </c>
      <c r="V161" s="355">
        <f t="shared" si="26"/>
        <v>29724</v>
      </c>
      <c r="W161" s="355">
        <f t="shared" si="26"/>
        <v>11392</v>
      </c>
      <c r="X161" s="355">
        <f t="shared" si="26"/>
        <v>10082</v>
      </c>
      <c r="Y161" s="355">
        <f t="shared" si="26"/>
        <v>19762</v>
      </c>
      <c r="Z161" s="355">
        <f t="shared" si="26"/>
        <v>63502</v>
      </c>
      <c r="AA161" s="355">
        <f t="shared" si="26"/>
        <v>14589</v>
      </c>
      <c r="AB161" s="355">
        <f t="shared" si="26"/>
        <v>456680</v>
      </c>
      <c r="AC161" s="355">
        <f t="shared" si="26"/>
        <v>0</v>
      </c>
      <c r="AD161" s="355">
        <f t="shared" si="26"/>
        <v>0</v>
      </c>
      <c r="AE161" s="355">
        <f t="shared" si="26"/>
        <v>0</v>
      </c>
      <c r="AF161" s="355">
        <f t="shared" si="26"/>
        <v>167</v>
      </c>
      <c r="AG161" s="355">
        <f t="shared" si="26"/>
        <v>64</v>
      </c>
      <c r="AH161" s="355">
        <f t="shared" si="26"/>
        <v>125</v>
      </c>
      <c r="AI161" s="355">
        <f t="shared" si="26"/>
        <v>5</v>
      </c>
      <c r="AJ161" s="355">
        <f t="shared" si="26"/>
        <v>4333</v>
      </c>
      <c r="AK161" s="355">
        <f t="shared" si="26"/>
        <v>4672</v>
      </c>
      <c r="AL161" s="355">
        <f t="shared" si="26"/>
        <v>1284</v>
      </c>
      <c r="AM161" s="355">
        <f t="shared" si="26"/>
        <v>0</v>
      </c>
      <c r="AN161" s="355">
        <f t="shared" si="26"/>
        <v>20447</v>
      </c>
      <c r="AO161" s="355">
        <f t="shared" si="26"/>
        <v>3245</v>
      </c>
      <c r="AP161" s="355">
        <f t="shared" si="26"/>
        <v>3068</v>
      </c>
      <c r="AQ161" s="355">
        <f t="shared" si="26"/>
        <v>0</v>
      </c>
      <c r="AR161" s="355">
        <f t="shared" si="26"/>
        <v>1</v>
      </c>
      <c r="AS161" s="355">
        <f t="shared" si="26"/>
        <v>1</v>
      </c>
      <c r="AT161" s="355">
        <f t="shared" si="26"/>
        <v>4876</v>
      </c>
      <c r="AU161" s="355"/>
      <c r="AV161" s="355">
        <f>+AV157+AV159</f>
        <v>1329608</v>
      </c>
      <c r="AW161" s="11"/>
    </row>
    <row r="162" spans="3:48" ht="11.25" customHeight="1"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V162" s="11">
        <f>COUNTBLANK(C162:AT162)</f>
        <v>44</v>
      </c>
    </row>
    <row r="163" spans="1:49" s="134" customFormat="1" ht="11.25" customHeight="1">
      <c r="A163" s="134" t="s">
        <v>299</v>
      </c>
      <c r="C163" s="11">
        <f aca="true" t="shared" si="27" ref="C163:AT163">+C65-C120</f>
        <v>0</v>
      </c>
      <c r="D163" s="11">
        <f t="shared" si="27"/>
        <v>0</v>
      </c>
      <c r="E163" s="11">
        <f t="shared" si="27"/>
        <v>0</v>
      </c>
      <c r="F163" s="11">
        <f t="shared" si="27"/>
        <v>0</v>
      </c>
      <c r="G163" s="11">
        <f t="shared" si="27"/>
        <v>0</v>
      </c>
      <c r="H163" s="11">
        <f t="shared" si="27"/>
        <v>0</v>
      </c>
      <c r="I163" s="11">
        <f t="shared" si="27"/>
        <v>0</v>
      </c>
      <c r="J163" s="11">
        <f t="shared" si="27"/>
        <v>0</v>
      </c>
      <c r="K163" s="11">
        <f t="shared" si="27"/>
        <v>0</v>
      </c>
      <c r="L163" s="11">
        <f t="shared" si="27"/>
        <v>0</v>
      </c>
      <c r="M163" s="11">
        <f t="shared" si="27"/>
        <v>0</v>
      </c>
      <c r="N163" s="11">
        <f t="shared" si="27"/>
        <v>0</v>
      </c>
      <c r="O163" s="11">
        <f t="shared" si="27"/>
        <v>0</v>
      </c>
      <c r="P163" s="11">
        <f t="shared" si="27"/>
        <v>0</v>
      </c>
      <c r="Q163" s="11">
        <f t="shared" si="27"/>
        <v>1</v>
      </c>
      <c r="R163" s="11">
        <f t="shared" si="27"/>
        <v>-1</v>
      </c>
      <c r="S163" s="11">
        <f t="shared" si="27"/>
        <v>1</v>
      </c>
      <c r="T163" s="11">
        <f t="shared" si="27"/>
        <v>0</v>
      </c>
      <c r="U163" s="11">
        <f t="shared" si="27"/>
        <v>1</v>
      </c>
      <c r="V163" s="11">
        <f t="shared" si="27"/>
        <v>0</v>
      </c>
      <c r="W163" s="11">
        <f t="shared" si="27"/>
        <v>0</v>
      </c>
      <c r="X163" s="11">
        <f t="shared" si="27"/>
        <v>2</v>
      </c>
      <c r="Y163" s="11">
        <f t="shared" si="27"/>
        <v>0</v>
      </c>
      <c r="Z163" s="11">
        <f t="shared" si="27"/>
        <v>0</v>
      </c>
      <c r="AA163" s="11">
        <f t="shared" si="27"/>
        <v>0</v>
      </c>
      <c r="AB163" s="11">
        <f t="shared" si="27"/>
        <v>0</v>
      </c>
      <c r="AC163" s="11">
        <f t="shared" si="27"/>
        <v>0</v>
      </c>
      <c r="AD163" s="11">
        <f t="shared" si="27"/>
        <v>0</v>
      </c>
      <c r="AE163" s="11">
        <f t="shared" si="27"/>
        <v>0</v>
      </c>
      <c r="AF163" s="11">
        <f t="shared" si="27"/>
        <v>1</v>
      </c>
      <c r="AG163" s="11">
        <f t="shared" si="27"/>
        <v>0</v>
      </c>
      <c r="AH163" s="11">
        <f t="shared" si="27"/>
        <v>0</v>
      </c>
      <c r="AI163" s="11">
        <f t="shared" si="27"/>
        <v>0</v>
      </c>
      <c r="AJ163" s="11">
        <f t="shared" si="27"/>
        <v>0</v>
      </c>
      <c r="AK163" s="11">
        <f t="shared" si="27"/>
        <v>0</v>
      </c>
      <c r="AL163" s="11">
        <f t="shared" si="27"/>
        <v>1</v>
      </c>
      <c r="AM163" s="11">
        <f t="shared" si="27"/>
        <v>1</v>
      </c>
      <c r="AN163" s="11">
        <f t="shared" si="27"/>
        <v>0</v>
      </c>
      <c r="AO163" s="11">
        <f t="shared" si="27"/>
        <v>-1</v>
      </c>
      <c r="AP163" s="11">
        <f t="shared" si="27"/>
        <v>-1</v>
      </c>
      <c r="AQ163" s="11">
        <f t="shared" si="27"/>
        <v>-1</v>
      </c>
      <c r="AR163" s="11">
        <f t="shared" si="27"/>
        <v>1</v>
      </c>
      <c r="AS163" s="11">
        <f t="shared" si="27"/>
        <v>0</v>
      </c>
      <c r="AT163" s="11">
        <f t="shared" si="27"/>
        <v>0</v>
      </c>
      <c r="AU163" s="11"/>
      <c r="AV163" s="11">
        <f>+AV65-AV120</f>
        <v>5</v>
      </c>
      <c r="AW163" s="11"/>
    </row>
    <row r="164" spans="1:67" s="134" customFormat="1" ht="11.25" customHeight="1">
      <c r="A164" s="134" t="s">
        <v>300</v>
      </c>
      <c r="C164" s="15">
        <f aca="true" t="shared" si="28" ref="C164:AT164">+C161-C97</f>
        <v>0</v>
      </c>
      <c r="D164" s="15">
        <f t="shared" si="28"/>
        <v>0</v>
      </c>
      <c r="E164" s="15">
        <f t="shared" si="28"/>
        <v>0</v>
      </c>
      <c r="F164" s="15">
        <f t="shared" si="28"/>
        <v>0</v>
      </c>
      <c r="G164" s="15">
        <f t="shared" si="28"/>
        <v>0</v>
      </c>
      <c r="H164" s="15">
        <f t="shared" si="28"/>
        <v>0</v>
      </c>
      <c r="I164" s="15">
        <f t="shared" si="28"/>
        <v>0</v>
      </c>
      <c r="J164" s="15">
        <f t="shared" si="28"/>
        <v>0</v>
      </c>
      <c r="K164" s="15">
        <f t="shared" si="28"/>
        <v>0</v>
      </c>
      <c r="L164" s="15">
        <f t="shared" si="28"/>
        <v>-1</v>
      </c>
      <c r="M164" s="15">
        <f t="shared" si="28"/>
        <v>0</v>
      </c>
      <c r="N164" s="15">
        <f t="shared" si="28"/>
        <v>1</v>
      </c>
      <c r="O164" s="15">
        <f t="shared" si="28"/>
        <v>0</v>
      </c>
      <c r="P164" s="15">
        <f t="shared" si="28"/>
        <v>1</v>
      </c>
      <c r="Q164" s="15">
        <f t="shared" si="28"/>
        <v>0</v>
      </c>
      <c r="R164" s="15">
        <f t="shared" si="28"/>
        <v>0</v>
      </c>
      <c r="S164" s="15">
        <f t="shared" si="28"/>
        <v>0</v>
      </c>
      <c r="T164" s="15">
        <f t="shared" si="28"/>
        <v>0</v>
      </c>
      <c r="U164" s="15">
        <f t="shared" si="28"/>
        <v>0</v>
      </c>
      <c r="V164" s="15">
        <f t="shared" si="28"/>
        <v>0</v>
      </c>
      <c r="W164" s="15">
        <f t="shared" si="28"/>
        <v>0</v>
      </c>
      <c r="X164" s="15">
        <f t="shared" si="28"/>
        <v>0</v>
      </c>
      <c r="Y164" s="15">
        <f t="shared" si="28"/>
        <v>2</v>
      </c>
      <c r="Z164" s="15">
        <f t="shared" si="28"/>
        <v>0</v>
      </c>
      <c r="AA164" s="15">
        <f t="shared" si="28"/>
        <v>0</v>
      </c>
      <c r="AB164" s="15">
        <f t="shared" si="28"/>
        <v>0</v>
      </c>
      <c r="AC164" s="15">
        <f t="shared" si="28"/>
        <v>0</v>
      </c>
      <c r="AD164" s="15">
        <f t="shared" si="28"/>
        <v>0</v>
      </c>
      <c r="AE164" s="15">
        <f t="shared" si="28"/>
        <v>0</v>
      </c>
      <c r="AF164" s="15">
        <f t="shared" si="28"/>
        <v>0</v>
      </c>
      <c r="AG164" s="15">
        <f t="shared" si="28"/>
        <v>0</v>
      </c>
      <c r="AH164" s="15">
        <f t="shared" si="28"/>
        <v>0</v>
      </c>
      <c r="AI164" s="15">
        <f t="shared" si="28"/>
        <v>0</v>
      </c>
      <c r="AJ164" s="15">
        <f t="shared" si="28"/>
        <v>0</v>
      </c>
      <c r="AK164" s="15">
        <f t="shared" si="28"/>
        <v>0</v>
      </c>
      <c r="AL164" s="15">
        <f t="shared" si="28"/>
        <v>1</v>
      </c>
      <c r="AM164" s="15">
        <f t="shared" si="28"/>
        <v>0</v>
      </c>
      <c r="AN164" s="15">
        <f t="shared" si="28"/>
        <v>-1</v>
      </c>
      <c r="AO164" s="15">
        <f t="shared" si="28"/>
        <v>0</v>
      </c>
      <c r="AP164" s="15">
        <f t="shared" si="28"/>
        <v>0</v>
      </c>
      <c r="AQ164" s="15">
        <f t="shared" si="28"/>
        <v>0</v>
      </c>
      <c r="AR164" s="15">
        <f t="shared" si="28"/>
        <v>1</v>
      </c>
      <c r="AS164" s="15">
        <f t="shared" si="28"/>
        <v>1</v>
      </c>
      <c r="AT164" s="15">
        <f t="shared" si="28"/>
        <v>0</v>
      </c>
      <c r="AU164" s="15"/>
      <c r="AV164" s="15">
        <f>+AV161-AV97</f>
        <v>5</v>
      </c>
      <c r="AW164" s="11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</row>
    <row r="165" spans="1:46" ht="11.25" customHeight="1">
      <c r="A165" s="11" t="s">
        <v>317</v>
      </c>
      <c r="C165" s="11" t="s">
        <v>336</v>
      </c>
      <c r="D165" s="11" t="s">
        <v>337</v>
      </c>
      <c r="E165" s="11" t="s">
        <v>338</v>
      </c>
      <c r="F165" s="11" t="s">
        <v>344</v>
      </c>
      <c r="G165" s="11" t="s">
        <v>326</v>
      </c>
      <c r="H165" s="11" t="s">
        <v>327</v>
      </c>
      <c r="I165" s="11" t="s">
        <v>328</v>
      </c>
      <c r="J165" s="11" t="s">
        <v>348</v>
      </c>
      <c r="K165" s="11" t="s">
        <v>349</v>
      </c>
      <c r="L165" s="11" t="s">
        <v>350</v>
      </c>
      <c r="M165" s="11" t="s">
        <v>351</v>
      </c>
      <c r="N165" s="11" t="s">
        <v>352</v>
      </c>
      <c r="O165" s="11" t="s">
        <v>353</v>
      </c>
      <c r="P165" s="11" t="s">
        <v>354</v>
      </c>
      <c r="Q165" s="11" t="s">
        <v>318</v>
      </c>
      <c r="R165" s="11" t="s">
        <v>319</v>
      </c>
      <c r="S165" s="11" t="s">
        <v>320</v>
      </c>
      <c r="T165" s="11" t="s">
        <v>321</v>
      </c>
      <c r="U165" s="11" t="s">
        <v>356</v>
      </c>
      <c r="V165" s="11" t="s">
        <v>357</v>
      </c>
      <c r="W165" s="11" t="s">
        <v>358</v>
      </c>
      <c r="X165" s="11" t="s">
        <v>359</v>
      </c>
      <c r="Y165" s="11" t="s">
        <v>360</v>
      </c>
      <c r="Z165" s="11" t="s">
        <v>323</v>
      </c>
      <c r="AA165" s="11" t="s">
        <v>324</v>
      </c>
      <c r="AB165" s="11" t="s">
        <v>325</v>
      </c>
      <c r="AC165" s="11" t="s">
        <v>334</v>
      </c>
      <c r="AD165" s="11" t="s">
        <v>335</v>
      </c>
      <c r="AE165" s="11" t="s">
        <v>355</v>
      </c>
      <c r="AF165" s="11" t="s">
        <v>322</v>
      </c>
      <c r="AG165" s="11" t="s">
        <v>333</v>
      </c>
      <c r="AH165" s="11" t="s">
        <v>342</v>
      </c>
      <c r="AI165" s="11" t="s">
        <v>343</v>
      </c>
      <c r="AJ165" s="11" t="s">
        <v>345</v>
      </c>
      <c r="AK165" s="11" t="s">
        <v>339</v>
      </c>
      <c r="AL165" s="11" t="s">
        <v>339</v>
      </c>
      <c r="AM165" s="11" t="s">
        <v>340</v>
      </c>
      <c r="AN165" s="11" t="s">
        <v>329</v>
      </c>
      <c r="AO165" s="11" t="s">
        <v>330</v>
      </c>
      <c r="AP165" s="11" t="s">
        <v>331</v>
      </c>
      <c r="AQ165" s="11" t="s">
        <v>332</v>
      </c>
      <c r="AR165" s="11" t="s">
        <v>346</v>
      </c>
      <c r="AS165" s="11" t="s">
        <v>347</v>
      </c>
      <c r="AT165" s="11" t="s">
        <v>341</v>
      </c>
    </row>
    <row r="166" spans="3:46" ht="11.25" customHeight="1">
      <c r="C166" s="15"/>
      <c r="D166" s="15"/>
      <c r="E166" s="15"/>
      <c r="F166" s="15"/>
      <c r="G166" s="15"/>
      <c r="H166" s="15"/>
      <c r="I166" s="15"/>
      <c r="J166" s="12"/>
      <c r="K166" s="12"/>
      <c r="L166" s="12"/>
      <c r="M166" s="12"/>
      <c r="N166" s="12"/>
      <c r="O166" s="12"/>
      <c r="P166" s="12"/>
      <c r="Q166" s="136"/>
      <c r="R166" s="136"/>
      <c r="S166" s="15"/>
      <c r="T166" s="15"/>
      <c r="U166" s="12"/>
      <c r="V166" s="12"/>
      <c r="W166" s="12"/>
      <c r="X166" s="12"/>
      <c r="Y166" s="12"/>
      <c r="Z166" s="15"/>
      <c r="AA166" s="15"/>
      <c r="AB166" s="15"/>
      <c r="AC166" s="15"/>
      <c r="AD166" s="15"/>
      <c r="AE166" s="12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2"/>
      <c r="AS166" s="12"/>
      <c r="AT166" s="15"/>
    </row>
    <row r="167" spans="3:46" ht="11.25" customHeight="1">
      <c r="C167" s="15"/>
      <c r="D167" s="15"/>
      <c r="E167" s="15"/>
      <c r="F167" s="15"/>
      <c r="G167" s="15"/>
      <c r="H167" s="15"/>
      <c r="I167" s="15"/>
      <c r="J167" s="12"/>
      <c r="K167" s="12"/>
      <c r="L167" s="12"/>
      <c r="M167" s="12"/>
      <c r="N167" s="12"/>
      <c r="O167" s="12"/>
      <c r="P167" s="12"/>
      <c r="Q167" s="15"/>
      <c r="S167" s="15"/>
      <c r="T167" s="15"/>
      <c r="U167" s="12"/>
      <c r="V167" s="12"/>
      <c r="W167" s="12"/>
      <c r="X167" s="12"/>
      <c r="Y167" s="12"/>
      <c r="Z167" s="15"/>
      <c r="AA167" s="15"/>
      <c r="AB167" s="15"/>
      <c r="AC167" s="15"/>
      <c r="AD167" s="15"/>
      <c r="AE167" s="12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2"/>
      <c r="AS167" s="12"/>
      <c r="AT167" s="15"/>
    </row>
    <row r="168" spans="3:46" ht="11.25" customHeight="1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5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0:45" ht="11.25" customHeight="1">
      <c r="J169" s="12"/>
      <c r="K169" s="12"/>
      <c r="L169" s="12"/>
      <c r="M169" s="12"/>
      <c r="N169" s="12"/>
      <c r="O169" s="12"/>
      <c r="P169" s="12"/>
      <c r="U169" s="12"/>
      <c r="V169" s="12"/>
      <c r="W169" s="12"/>
      <c r="X169" s="12"/>
      <c r="Y169" s="12"/>
      <c r="AE169" s="12"/>
      <c r="AR169" s="12"/>
      <c r="AS169" s="12"/>
    </row>
    <row r="170" spans="3:46" ht="11.25" customHeight="1">
      <c r="C170" s="12"/>
      <c r="D170" s="12"/>
      <c r="E170" s="15"/>
      <c r="F170" s="15"/>
      <c r="G170" s="15"/>
      <c r="H170" s="15"/>
      <c r="I170" s="15"/>
      <c r="J170" s="12"/>
      <c r="K170" s="12"/>
      <c r="L170" s="12"/>
      <c r="M170" s="12"/>
      <c r="N170" s="12"/>
      <c r="O170" s="12"/>
      <c r="P170" s="12"/>
      <c r="Q170" s="15"/>
      <c r="R170" s="15"/>
      <c r="S170" s="15"/>
      <c r="T170" s="15"/>
      <c r="U170" s="12"/>
      <c r="V170" s="12"/>
      <c r="W170" s="12"/>
      <c r="X170" s="12"/>
      <c r="Y170" s="12"/>
      <c r="Z170" s="15"/>
      <c r="AA170" s="15"/>
      <c r="AB170" s="15"/>
      <c r="AC170" s="12"/>
      <c r="AD170" s="12"/>
      <c r="AE170" s="12"/>
      <c r="AF170" s="15"/>
      <c r="AG170" s="15"/>
      <c r="AH170" s="15"/>
      <c r="AI170" s="15"/>
      <c r="AJ170" s="15"/>
      <c r="AK170" s="15"/>
      <c r="AL170" s="15"/>
      <c r="AM170" s="15"/>
      <c r="AN170" s="15"/>
      <c r="AO170" s="12"/>
      <c r="AP170" s="12"/>
      <c r="AQ170" s="12"/>
      <c r="AR170" s="12"/>
      <c r="AS170" s="12"/>
      <c r="AT170" s="15"/>
    </row>
    <row r="171" spans="10:14" ht="11.25" customHeight="1">
      <c r="J171" s="12"/>
      <c r="K171" s="12"/>
      <c r="L171" s="12"/>
      <c r="M171" s="12"/>
      <c r="N171" s="15"/>
    </row>
    <row r="172" spans="3:46" ht="11.25" customHeight="1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0:14" ht="11.25" customHeight="1">
      <c r="J173" s="12"/>
      <c r="K173" s="12"/>
      <c r="L173" s="12"/>
      <c r="M173" s="12"/>
      <c r="N173" s="15"/>
    </row>
    <row r="174" spans="10:14" ht="11.25" customHeight="1">
      <c r="J174" s="12"/>
      <c r="K174" s="12"/>
      <c r="L174" s="12"/>
      <c r="M174" s="12"/>
      <c r="N174" s="15"/>
    </row>
    <row r="175" spans="10:45" ht="11.25" customHeight="1">
      <c r="J175" s="12"/>
      <c r="K175" s="12"/>
      <c r="L175" s="12"/>
      <c r="M175" s="12"/>
      <c r="N175" s="12"/>
      <c r="O175" s="12"/>
      <c r="P175" s="12"/>
      <c r="U175" s="12"/>
      <c r="V175" s="12"/>
      <c r="W175" s="12"/>
      <c r="X175" s="12"/>
      <c r="Y175" s="12"/>
      <c r="AE175" s="12"/>
      <c r="AR175" s="12"/>
      <c r="AS175" s="12"/>
    </row>
    <row r="176" spans="3:46" ht="11.25" customHeight="1">
      <c r="C176" s="15"/>
      <c r="D176" s="15"/>
      <c r="E176" s="15"/>
      <c r="F176" s="15"/>
      <c r="G176" s="15"/>
      <c r="H176" s="15"/>
      <c r="I176" s="15"/>
      <c r="J176" s="12"/>
      <c r="K176" s="12"/>
      <c r="L176" s="12"/>
      <c r="M176" s="12"/>
      <c r="N176" s="12"/>
      <c r="O176" s="12"/>
      <c r="P176" s="12"/>
      <c r="Q176" s="15"/>
      <c r="R176" s="15"/>
      <c r="S176" s="15"/>
      <c r="T176" s="15"/>
      <c r="U176" s="12"/>
      <c r="V176" s="12"/>
      <c r="W176" s="12"/>
      <c r="X176" s="12"/>
      <c r="Y176" s="12"/>
      <c r="Z176" s="15"/>
      <c r="AA176" s="15"/>
      <c r="AB176" s="15"/>
      <c r="AC176" s="15"/>
      <c r="AD176" s="15"/>
      <c r="AE176" s="12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2"/>
      <c r="AS176" s="12"/>
      <c r="AT176" s="15"/>
    </row>
    <row r="177" spans="10:45" ht="11.25" customHeight="1">
      <c r="J177" s="12"/>
      <c r="K177" s="12"/>
      <c r="L177" s="12"/>
      <c r="M177" s="12"/>
      <c r="N177" s="12"/>
      <c r="O177" s="12"/>
      <c r="P177" s="12"/>
      <c r="U177" s="12"/>
      <c r="V177" s="12"/>
      <c r="W177" s="12"/>
      <c r="X177" s="12"/>
      <c r="Y177" s="12"/>
      <c r="AE177" s="12"/>
      <c r="AR177" s="12"/>
      <c r="AS177" s="12"/>
    </row>
    <row r="178" spans="10:45" ht="11.25" customHeight="1">
      <c r="J178" s="12"/>
      <c r="K178" s="12"/>
      <c r="L178" s="12"/>
      <c r="M178" s="12"/>
      <c r="N178" s="12"/>
      <c r="O178" s="12"/>
      <c r="P178" s="12"/>
      <c r="U178" s="12"/>
      <c r="V178" s="12"/>
      <c r="W178" s="12"/>
      <c r="X178" s="12"/>
      <c r="Y178" s="12"/>
      <c r="AE178" s="12"/>
      <c r="AR178" s="12"/>
      <c r="AS178" s="12"/>
    </row>
    <row r="179" spans="3:46" ht="11.25" customHeight="1">
      <c r="C179" s="15"/>
      <c r="D179" s="15"/>
      <c r="E179" s="15"/>
      <c r="F179" s="15"/>
      <c r="G179" s="15"/>
      <c r="H179" s="15"/>
      <c r="I179" s="15"/>
      <c r="J179" s="12"/>
      <c r="K179" s="12"/>
      <c r="L179" s="12"/>
      <c r="M179" s="12"/>
      <c r="N179" s="12"/>
      <c r="O179" s="12"/>
      <c r="P179" s="12"/>
      <c r="Q179" s="15"/>
      <c r="R179" s="15"/>
      <c r="S179" s="15"/>
      <c r="T179" s="15"/>
      <c r="U179" s="12"/>
      <c r="V179" s="12"/>
      <c r="W179" s="12"/>
      <c r="X179" s="12"/>
      <c r="Y179" s="12"/>
      <c r="Z179" s="15"/>
      <c r="AA179" s="15"/>
      <c r="AB179" s="15"/>
      <c r="AC179" s="15"/>
      <c r="AD179" s="15"/>
      <c r="AE179" s="12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2"/>
      <c r="AS179" s="12"/>
      <c r="AT179" s="15"/>
    </row>
    <row r="180" spans="3:46" ht="11.25" customHeight="1">
      <c r="C180" s="15"/>
      <c r="D180" s="15"/>
      <c r="E180" s="15"/>
      <c r="F180" s="15"/>
      <c r="G180" s="15"/>
      <c r="H180" s="15"/>
      <c r="I180" s="15"/>
      <c r="J180" s="12"/>
      <c r="K180" s="12"/>
      <c r="L180" s="12"/>
      <c r="M180" s="12"/>
      <c r="N180" s="12"/>
      <c r="O180" s="12"/>
      <c r="P180" s="12"/>
      <c r="Q180" s="15"/>
      <c r="R180" s="15"/>
      <c r="S180" s="15"/>
      <c r="T180" s="15"/>
      <c r="U180" s="12"/>
      <c r="V180" s="12"/>
      <c r="W180" s="12"/>
      <c r="X180" s="12"/>
      <c r="Y180" s="12"/>
      <c r="Z180" s="15"/>
      <c r="AA180" s="15"/>
      <c r="AB180" s="15"/>
      <c r="AC180" s="15"/>
      <c r="AD180" s="15"/>
      <c r="AE180" s="12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2"/>
      <c r="AS180" s="12"/>
      <c r="AT180" s="15"/>
    </row>
    <row r="181" spans="3:46" ht="11.25" customHeight="1">
      <c r="C181" s="15"/>
      <c r="D181" s="15"/>
      <c r="E181" s="15"/>
      <c r="F181" s="15"/>
      <c r="G181" s="15"/>
      <c r="H181" s="15"/>
      <c r="I181" s="15"/>
      <c r="J181" s="12"/>
      <c r="K181" s="12"/>
      <c r="L181" s="12"/>
      <c r="M181" s="12"/>
      <c r="N181" s="12"/>
      <c r="O181" s="12"/>
      <c r="P181" s="12"/>
      <c r="Q181" s="15"/>
      <c r="R181" s="15"/>
      <c r="S181" s="15"/>
      <c r="T181" s="15"/>
      <c r="U181" s="12"/>
      <c r="V181" s="12"/>
      <c r="W181" s="12"/>
      <c r="X181" s="12"/>
      <c r="Y181" s="12"/>
      <c r="Z181" s="15"/>
      <c r="AA181" s="15"/>
      <c r="AB181" s="15"/>
      <c r="AC181" s="15"/>
      <c r="AD181" s="15"/>
      <c r="AE181" s="12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2"/>
      <c r="AS181" s="12"/>
      <c r="AT181" s="15"/>
    </row>
    <row r="182" spans="3:46" ht="11.25" customHeight="1">
      <c r="C182" s="15"/>
      <c r="D182" s="15"/>
      <c r="E182" s="15"/>
      <c r="F182" s="15"/>
      <c r="G182" s="15"/>
      <c r="H182" s="15"/>
      <c r="I182" s="15"/>
      <c r="J182" s="12"/>
      <c r="K182" s="12"/>
      <c r="L182" s="12"/>
      <c r="M182" s="12"/>
      <c r="N182" s="12"/>
      <c r="O182" s="12"/>
      <c r="P182" s="12"/>
      <c r="R182" s="136"/>
      <c r="S182" s="15"/>
      <c r="T182" s="15"/>
      <c r="U182" s="12"/>
      <c r="V182" s="12"/>
      <c r="W182" s="12"/>
      <c r="X182" s="12"/>
      <c r="Y182" s="12"/>
      <c r="Z182" s="15"/>
      <c r="AA182" s="15"/>
      <c r="AB182" s="15"/>
      <c r="AC182" s="15"/>
      <c r="AD182" s="15"/>
      <c r="AE182" s="12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2"/>
      <c r="AS182" s="12"/>
      <c r="AT182" s="15"/>
    </row>
    <row r="183" spans="3:46" ht="11.2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3:45" ht="11.25" customHeight="1">
      <c r="C184" s="15"/>
      <c r="D184" s="15"/>
      <c r="J184" s="12"/>
      <c r="K184" s="12"/>
      <c r="L184" s="12"/>
      <c r="M184" s="12"/>
      <c r="N184" s="12"/>
      <c r="O184" s="12"/>
      <c r="P184" s="12"/>
      <c r="U184" s="12"/>
      <c r="V184" s="12"/>
      <c r="W184" s="12"/>
      <c r="X184" s="12"/>
      <c r="Y184" s="12"/>
      <c r="AC184" s="15"/>
      <c r="AD184" s="15"/>
      <c r="AE184" s="12"/>
      <c r="AR184" s="12"/>
      <c r="AS184" s="12"/>
    </row>
    <row r="185" spans="3:46" ht="11.25" customHeight="1">
      <c r="C185" s="15"/>
      <c r="D185" s="15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5"/>
      <c r="AD185" s="15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5"/>
      <c r="AP185" s="15"/>
      <c r="AQ185" s="15"/>
      <c r="AR185" s="12"/>
      <c r="AS185" s="12"/>
      <c r="AT185" s="12"/>
    </row>
    <row r="186" spans="3:45" ht="11.25" customHeight="1">
      <c r="C186" s="15"/>
      <c r="D186" s="15"/>
      <c r="J186" s="12"/>
      <c r="K186" s="12"/>
      <c r="L186" s="12"/>
      <c r="M186" s="12"/>
      <c r="N186" s="12"/>
      <c r="O186" s="12"/>
      <c r="P186" s="12"/>
      <c r="U186" s="12"/>
      <c r="V186" s="12"/>
      <c r="W186" s="12"/>
      <c r="X186" s="12"/>
      <c r="Y186" s="12"/>
      <c r="AC186" s="15"/>
      <c r="AD186" s="15"/>
      <c r="AE186" s="12"/>
      <c r="AR186" s="12"/>
      <c r="AS186" s="12"/>
    </row>
    <row r="187" spans="3:46" ht="11.25" customHeight="1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3:46" ht="11.25" customHeight="1">
      <c r="C188" s="15"/>
      <c r="D188" s="15"/>
      <c r="E188" s="15"/>
      <c r="F188" s="15"/>
      <c r="G188" s="15"/>
      <c r="H188" s="15"/>
      <c r="I188" s="15"/>
      <c r="J188" s="12"/>
      <c r="K188" s="12"/>
      <c r="L188" s="12"/>
      <c r="M188" s="12"/>
      <c r="N188" s="15"/>
      <c r="Q188" s="15"/>
      <c r="R188" s="15"/>
      <c r="S188" s="15"/>
      <c r="T188" s="15"/>
      <c r="Z188" s="15"/>
      <c r="AA188" s="15"/>
      <c r="AB188" s="15"/>
      <c r="AC188" s="15"/>
      <c r="AD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3:46" ht="11.25" customHeight="1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37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spans="3:46" ht="11.25" customHeight="1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37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ht="11.25" customHeight="1">
      <c r="J191" s="12"/>
    </row>
    <row r="192" spans="3:30" ht="11.25" customHeight="1">
      <c r="C192" s="15"/>
      <c r="D192" s="15"/>
      <c r="AC192" s="15"/>
      <c r="AD192" s="15"/>
    </row>
    <row r="193" spans="5:45" ht="11.25" customHeight="1">
      <c r="E193" s="10"/>
      <c r="I193" s="10"/>
      <c r="J193" s="12"/>
      <c r="K193" s="12"/>
      <c r="L193" s="12"/>
      <c r="M193" s="12"/>
      <c r="N193" s="12"/>
      <c r="Q193" s="10"/>
      <c r="R193" s="10"/>
      <c r="S193" s="12"/>
      <c r="T193" s="10"/>
      <c r="Z193" s="10"/>
      <c r="AA193" s="10"/>
      <c r="AB193" s="10"/>
      <c r="AF193" s="10"/>
      <c r="AG193" s="10"/>
      <c r="AK193" s="10"/>
      <c r="AL193" s="10"/>
      <c r="AM193" s="10"/>
      <c r="AN193" s="10"/>
      <c r="AS193" s="10"/>
    </row>
    <row r="194" spans="3:46" ht="11.25" customHeight="1">
      <c r="C194" s="12"/>
      <c r="D194" s="12"/>
      <c r="E194" s="15"/>
      <c r="F194" s="15"/>
      <c r="G194" s="15"/>
      <c r="H194" s="15"/>
      <c r="I194" s="15"/>
      <c r="J194" s="12"/>
      <c r="K194" s="12"/>
      <c r="L194" s="12"/>
      <c r="M194" s="12"/>
      <c r="N194" s="15"/>
      <c r="Q194" s="15"/>
      <c r="R194" s="15"/>
      <c r="S194" s="15"/>
      <c r="T194" s="15"/>
      <c r="Z194" s="15"/>
      <c r="AA194" s="15"/>
      <c r="AB194" s="15"/>
      <c r="AC194" s="12"/>
      <c r="AD194" s="12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3:46" ht="11.25" customHeight="1">
      <c r="C195" s="12"/>
      <c r="D195" s="12"/>
      <c r="E195" s="15"/>
      <c r="F195" s="15"/>
      <c r="G195" s="15"/>
      <c r="H195" s="15"/>
      <c r="I195" s="15"/>
      <c r="J195" s="12"/>
      <c r="K195" s="12"/>
      <c r="L195" s="12"/>
      <c r="M195" s="12"/>
      <c r="N195" s="15"/>
      <c r="Q195" s="15"/>
      <c r="R195" s="15"/>
      <c r="S195" s="15"/>
      <c r="T195" s="15"/>
      <c r="Z195" s="15"/>
      <c r="AA195" s="15"/>
      <c r="AB195" s="15"/>
      <c r="AC195" s="12"/>
      <c r="AD195" s="12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3:46" ht="11.25" customHeight="1">
      <c r="C196" s="12"/>
      <c r="D196" s="12"/>
      <c r="E196" s="12"/>
      <c r="F196" s="15"/>
      <c r="G196" s="15"/>
      <c r="H196" s="15"/>
      <c r="I196" s="15"/>
      <c r="J196" s="12"/>
      <c r="K196" s="12"/>
      <c r="L196" s="12"/>
      <c r="M196" s="12"/>
      <c r="N196" s="15"/>
      <c r="Q196" s="15"/>
      <c r="R196" s="15"/>
      <c r="S196" s="15"/>
      <c r="T196" s="15"/>
      <c r="Z196" s="15"/>
      <c r="AA196" s="15"/>
      <c r="AB196" s="15"/>
      <c r="AC196" s="12"/>
      <c r="AD196" s="12"/>
      <c r="AF196" s="15"/>
      <c r="AG196" s="15"/>
      <c r="AH196" s="15"/>
      <c r="AI196" s="15"/>
      <c r="AJ196" s="15"/>
      <c r="AK196" s="12"/>
      <c r="AL196" s="12"/>
      <c r="AM196" s="12"/>
      <c r="AN196" s="15"/>
      <c r="AO196" s="12"/>
      <c r="AP196" s="12"/>
      <c r="AQ196" s="12"/>
      <c r="AR196" s="15"/>
      <c r="AS196" s="15"/>
      <c r="AT196" s="12"/>
    </row>
    <row r="197" spans="3:46" ht="11.25" customHeight="1">
      <c r="C197" s="12"/>
      <c r="D197" s="12"/>
      <c r="E197" s="15"/>
      <c r="F197" s="15"/>
      <c r="G197" s="15"/>
      <c r="H197" s="15"/>
      <c r="I197" s="15"/>
      <c r="J197" s="12"/>
      <c r="K197" s="12"/>
      <c r="L197" s="12"/>
      <c r="M197" s="12"/>
      <c r="N197" s="15"/>
      <c r="Q197" s="15"/>
      <c r="R197" s="15"/>
      <c r="S197" s="15"/>
      <c r="T197" s="15"/>
      <c r="Z197" s="15"/>
      <c r="AA197" s="15"/>
      <c r="AB197" s="15"/>
      <c r="AC197" s="12"/>
      <c r="AD197" s="12"/>
      <c r="AF197" s="15"/>
      <c r="AG197" s="15"/>
      <c r="AH197" s="15"/>
      <c r="AI197" s="15"/>
      <c r="AJ197" s="15"/>
      <c r="AK197" s="15"/>
      <c r="AL197" s="12"/>
      <c r="AM197" s="12"/>
      <c r="AN197" s="15"/>
      <c r="AO197" s="15"/>
      <c r="AP197" s="15"/>
      <c r="AQ197" s="12"/>
      <c r="AR197" s="15"/>
      <c r="AS197" s="15"/>
      <c r="AT197" s="12"/>
    </row>
    <row r="198" spans="3:46" ht="11.25" customHeight="1">
      <c r="C198" s="12"/>
      <c r="D198" s="12"/>
      <c r="E198" s="15"/>
      <c r="F198" s="15"/>
      <c r="G198" s="15"/>
      <c r="H198" s="15"/>
      <c r="I198" s="15"/>
      <c r="J198" s="12"/>
      <c r="K198" s="12"/>
      <c r="L198" s="12"/>
      <c r="M198" s="12"/>
      <c r="N198" s="15"/>
      <c r="Q198" s="15"/>
      <c r="R198" s="15"/>
      <c r="S198" s="15"/>
      <c r="T198" s="15"/>
      <c r="Z198" s="15"/>
      <c r="AA198" s="15"/>
      <c r="AB198" s="15"/>
      <c r="AC198" s="12"/>
      <c r="AD198" s="12"/>
      <c r="AF198" s="15"/>
      <c r="AG198" s="15"/>
      <c r="AH198" s="15"/>
      <c r="AI198" s="15"/>
      <c r="AJ198" s="15"/>
      <c r="AK198" s="15"/>
      <c r="AL198" s="12"/>
      <c r="AM198" s="15"/>
      <c r="AN198" s="15"/>
      <c r="AO198" s="15"/>
      <c r="AP198" s="15"/>
      <c r="AQ198" s="12"/>
      <c r="AR198" s="15"/>
      <c r="AS198" s="15"/>
      <c r="AT198" s="15"/>
    </row>
    <row r="199" spans="3:46" ht="11.25" customHeight="1">
      <c r="C199" s="12"/>
      <c r="D199" s="12"/>
      <c r="E199" s="12"/>
      <c r="F199" s="15"/>
      <c r="G199" s="15"/>
      <c r="H199" s="15"/>
      <c r="I199" s="15"/>
      <c r="J199" s="12"/>
      <c r="K199" s="12"/>
      <c r="L199" s="12"/>
      <c r="M199" s="12"/>
      <c r="N199" s="15"/>
      <c r="Q199" s="15"/>
      <c r="R199" s="15"/>
      <c r="S199" s="15"/>
      <c r="T199" s="15"/>
      <c r="Z199" s="15"/>
      <c r="AA199" s="15"/>
      <c r="AB199" s="15"/>
      <c r="AC199" s="12"/>
      <c r="AD199" s="12"/>
      <c r="AF199" s="15"/>
      <c r="AG199" s="15"/>
      <c r="AH199" s="15"/>
      <c r="AI199" s="15"/>
      <c r="AJ199" s="15"/>
      <c r="AK199" s="12"/>
      <c r="AL199" s="12"/>
      <c r="AM199" s="12"/>
      <c r="AN199" s="15"/>
      <c r="AO199" s="15"/>
      <c r="AP199" s="15"/>
      <c r="AQ199" s="12"/>
      <c r="AR199" s="15"/>
      <c r="AS199" s="15"/>
      <c r="AT199" s="12"/>
    </row>
    <row r="200" spans="3:46" ht="11.25" customHeight="1">
      <c r="C200" s="12"/>
      <c r="D200" s="12"/>
      <c r="E200" s="12"/>
      <c r="F200" s="15"/>
      <c r="G200" s="15"/>
      <c r="H200" s="15"/>
      <c r="I200" s="15"/>
      <c r="J200" s="12"/>
      <c r="K200" s="12"/>
      <c r="L200" s="12"/>
      <c r="M200" s="12"/>
      <c r="N200" s="15"/>
      <c r="Q200" s="15"/>
      <c r="R200" s="15"/>
      <c r="S200" s="15"/>
      <c r="T200" s="15"/>
      <c r="Z200" s="15"/>
      <c r="AA200" s="15"/>
      <c r="AB200" s="15"/>
      <c r="AC200" s="12"/>
      <c r="AD200" s="12"/>
      <c r="AF200" s="15"/>
      <c r="AG200" s="15"/>
      <c r="AH200" s="15"/>
      <c r="AI200" s="15"/>
      <c r="AJ200" s="15"/>
      <c r="AK200" s="12"/>
      <c r="AL200" s="12"/>
      <c r="AM200" s="12"/>
      <c r="AN200" s="15"/>
      <c r="AO200" s="12"/>
      <c r="AP200" s="12"/>
      <c r="AQ200" s="12"/>
      <c r="AR200" s="15"/>
      <c r="AS200" s="15"/>
      <c r="AT200" s="12"/>
    </row>
    <row r="201" spans="3:46" ht="11.25" customHeight="1">
      <c r="C201" s="12"/>
      <c r="D201" s="12"/>
      <c r="E201" s="12"/>
      <c r="F201" s="15"/>
      <c r="G201" s="15"/>
      <c r="H201" s="15"/>
      <c r="I201" s="15"/>
      <c r="J201" s="12"/>
      <c r="K201" s="12"/>
      <c r="L201" s="12"/>
      <c r="M201" s="12"/>
      <c r="N201" s="15"/>
      <c r="Q201" s="15"/>
      <c r="R201" s="15"/>
      <c r="S201" s="15"/>
      <c r="T201" s="15"/>
      <c r="Z201" s="15"/>
      <c r="AA201" s="15"/>
      <c r="AB201" s="15"/>
      <c r="AC201" s="12"/>
      <c r="AD201" s="12"/>
      <c r="AF201" s="15"/>
      <c r="AG201" s="15"/>
      <c r="AH201" s="15"/>
      <c r="AI201" s="15"/>
      <c r="AJ201" s="15"/>
      <c r="AK201" s="12"/>
      <c r="AL201" s="12"/>
      <c r="AM201" s="12"/>
      <c r="AN201" s="15"/>
      <c r="AO201" s="12"/>
      <c r="AP201" s="12"/>
      <c r="AQ201" s="12"/>
      <c r="AR201" s="15"/>
      <c r="AS201" s="15"/>
      <c r="AT201" s="12"/>
    </row>
    <row r="202" spans="3:46" ht="11.25" customHeight="1">
      <c r="C202" s="12"/>
      <c r="D202" s="12"/>
      <c r="E202" s="12"/>
      <c r="F202" s="15"/>
      <c r="G202" s="15"/>
      <c r="H202" s="15"/>
      <c r="I202" s="15"/>
      <c r="J202" s="12"/>
      <c r="K202" s="12"/>
      <c r="L202" s="12"/>
      <c r="M202" s="12"/>
      <c r="N202" s="15"/>
      <c r="Q202" s="15"/>
      <c r="R202" s="15"/>
      <c r="S202" s="15"/>
      <c r="T202" s="15"/>
      <c r="Z202" s="15"/>
      <c r="AA202" s="15"/>
      <c r="AB202" s="15"/>
      <c r="AC202" s="12"/>
      <c r="AD202" s="12"/>
      <c r="AF202" s="15"/>
      <c r="AG202" s="15"/>
      <c r="AH202" s="15"/>
      <c r="AI202" s="15"/>
      <c r="AJ202" s="15"/>
      <c r="AK202" s="12"/>
      <c r="AL202" s="15"/>
      <c r="AM202" s="12"/>
      <c r="AN202" s="15"/>
      <c r="AO202" s="12"/>
      <c r="AP202" s="12"/>
      <c r="AQ202" s="12"/>
      <c r="AR202" s="15"/>
      <c r="AS202" s="15"/>
      <c r="AT202" s="15"/>
    </row>
    <row r="203" spans="3:46" ht="11.2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0:18" ht="11.25" customHeight="1">
      <c r="J204" s="12"/>
      <c r="K204" s="12"/>
      <c r="L204" s="12"/>
      <c r="M204" s="12"/>
      <c r="N204" s="15"/>
      <c r="Q204" s="15"/>
      <c r="R204" s="15"/>
    </row>
    <row r="205" spans="5:46" ht="11.25" customHeight="1">
      <c r="E205" s="15"/>
      <c r="F205" s="15"/>
      <c r="G205" s="15"/>
      <c r="H205" s="15"/>
      <c r="I205" s="15"/>
      <c r="J205" s="12"/>
      <c r="K205" s="12"/>
      <c r="L205" s="12"/>
      <c r="M205" s="12"/>
      <c r="N205" s="15"/>
      <c r="Q205" s="15"/>
      <c r="R205" s="15"/>
      <c r="S205" s="15"/>
      <c r="T205" s="15"/>
      <c r="Z205" s="15"/>
      <c r="AA205" s="15"/>
      <c r="AB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3:46" ht="11.25" customHeight="1">
      <c r="C206" s="15"/>
      <c r="D206" s="15"/>
      <c r="E206" s="15"/>
      <c r="F206" s="15"/>
      <c r="G206" s="15"/>
      <c r="H206" s="15"/>
      <c r="I206" s="15"/>
      <c r="J206" s="12"/>
      <c r="K206" s="12"/>
      <c r="L206" s="12"/>
      <c r="M206" s="12"/>
      <c r="N206" s="15"/>
      <c r="Q206" s="15"/>
      <c r="R206" s="15"/>
      <c r="S206" s="15"/>
      <c r="T206" s="15"/>
      <c r="Z206" s="15"/>
      <c r="AA206" s="15"/>
      <c r="AB206" s="15"/>
      <c r="AC206" s="15"/>
      <c r="AD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3:46" ht="11.25" customHeight="1">
      <c r="C207" s="12"/>
      <c r="D207" s="12"/>
      <c r="E207" s="15"/>
      <c r="F207" s="15"/>
      <c r="G207" s="15"/>
      <c r="H207" s="15"/>
      <c r="I207" s="15"/>
      <c r="J207" s="12"/>
      <c r="K207" s="12"/>
      <c r="L207" s="12"/>
      <c r="M207" s="12"/>
      <c r="N207" s="15"/>
      <c r="Q207" s="15"/>
      <c r="R207" s="15"/>
      <c r="S207" s="15"/>
      <c r="T207" s="15"/>
      <c r="Z207" s="15"/>
      <c r="AA207" s="15"/>
      <c r="AB207" s="15"/>
      <c r="AC207" s="12"/>
      <c r="AD207" s="12"/>
      <c r="AF207" s="15"/>
      <c r="AG207" s="15"/>
      <c r="AH207" s="12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3:46" ht="11.25" customHeight="1">
      <c r="C208" s="12"/>
      <c r="D208" s="12"/>
      <c r="E208" s="15"/>
      <c r="F208" s="15"/>
      <c r="G208" s="15"/>
      <c r="H208" s="15"/>
      <c r="I208" s="15"/>
      <c r="J208" s="12"/>
      <c r="K208" s="12"/>
      <c r="L208" s="12"/>
      <c r="M208" s="12"/>
      <c r="N208" s="15"/>
      <c r="Q208" s="15"/>
      <c r="R208" s="15"/>
      <c r="S208" s="15"/>
      <c r="T208" s="15"/>
      <c r="Z208" s="15"/>
      <c r="AA208" s="15"/>
      <c r="AB208" s="15"/>
      <c r="AC208" s="12"/>
      <c r="AD208" s="12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6:46" ht="11.25" customHeight="1">
      <c r="F209" s="15"/>
      <c r="G209" s="15"/>
      <c r="H209" s="15"/>
      <c r="I209" s="15"/>
      <c r="J209" s="12"/>
      <c r="K209" s="12"/>
      <c r="L209" s="12"/>
      <c r="M209" s="12"/>
      <c r="N209" s="15"/>
      <c r="Q209" s="15"/>
      <c r="R209" s="15"/>
      <c r="S209" s="15"/>
      <c r="T209" s="15"/>
      <c r="Z209" s="15"/>
      <c r="AA209" s="15"/>
      <c r="AB209" s="15"/>
      <c r="AF209" s="15"/>
      <c r="AG209" s="15"/>
      <c r="AH209" s="15"/>
      <c r="AI209" s="15"/>
      <c r="AJ209" s="15"/>
      <c r="AL209" s="15"/>
      <c r="AM209" s="15"/>
      <c r="AN209" s="15"/>
      <c r="AR209" s="15"/>
      <c r="AS209" s="15"/>
      <c r="AT209" s="15"/>
    </row>
    <row r="210" spans="3:46" ht="11.25" customHeight="1">
      <c r="C210" s="12"/>
      <c r="D210" s="12"/>
      <c r="E210" s="15"/>
      <c r="F210" s="15"/>
      <c r="G210" s="15"/>
      <c r="H210" s="15"/>
      <c r="I210" s="15"/>
      <c r="J210" s="12"/>
      <c r="K210" s="12"/>
      <c r="L210" s="12"/>
      <c r="M210" s="12"/>
      <c r="N210" s="15"/>
      <c r="Q210" s="15"/>
      <c r="R210" s="15"/>
      <c r="S210" s="15"/>
      <c r="T210" s="15"/>
      <c r="Z210" s="15"/>
      <c r="AA210" s="15"/>
      <c r="AB210" s="15"/>
      <c r="AC210" s="12"/>
      <c r="AD210" s="12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3:46" ht="11.25" customHeight="1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3:46" ht="11.25" customHeight="1">
      <c r="C212" s="15"/>
      <c r="D212" s="15"/>
      <c r="E212" s="15"/>
      <c r="F212" s="15"/>
      <c r="G212" s="15"/>
      <c r="H212" s="15"/>
      <c r="I212" s="15"/>
      <c r="J212" s="12"/>
      <c r="K212" s="12"/>
      <c r="L212" s="12"/>
      <c r="M212" s="12"/>
      <c r="N212" s="15"/>
      <c r="Q212" s="15"/>
      <c r="R212" s="15"/>
      <c r="S212" s="15"/>
      <c r="T212" s="15"/>
      <c r="Z212" s="15"/>
      <c r="AA212" s="15"/>
      <c r="AB212" s="15"/>
      <c r="AC212" s="15"/>
      <c r="AD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3:46" ht="11.25" customHeight="1">
      <c r="C213" s="15"/>
      <c r="D213" s="15"/>
      <c r="E213" s="15"/>
      <c r="F213" s="15"/>
      <c r="G213" s="15"/>
      <c r="H213" s="15"/>
      <c r="I213" s="15"/>
      <c r="J213" s="12"/>
      <c r="K213" s="12"/>
      <c r="L213" s="12"/>
      <c r="M213" s="12"/>
      <c r="N213" s="15"/>
      <c r="Q213" s="15"/>
      <c r="R213" s="15"/>
      <c r="S213" s="15"/>
      <c r="T213" s="15"/>
      <c r="Z213" s="15"/>
      <c r="AA213" s="15"/>
      <c r="AB213" s="15"/>
      <c r="AC213" s="15"/>
      <c r="AD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3:46" ht="11.25" customHeight="1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0:18" ht="11.25" customHeight="1">
      <c r="J215" s="12"/>
      <c r="K215" s="12"/>
      <c r="L215" s="12"/>
      <c r="M215" s="12"/>
      <c r="N215" s="15"/>
      <c r="Q215" s="15"/>
      <c r="R215" s="15"/>
    </row>
    <row r="216" spans="10:18" ht="11.25" customHeight="1">
      <c r="J216" s="12"/>
      <c r="K216" s="12"/>
      <c r="L216" s="12"/>
      <c r="M216" s="12"/>
      <c r="N216" s="15"/>
      <c r="Q216" s="15"/>
      <c r="R216" s="15"/>
    </row>
    <row r="217" spans="3:46" ht="11.25" customHeight="1">
      <c r="C217" s="12"/>
      <c r="D217" s="12"/>
      <c r="E217" s="15"/>
      <c r="F217" s="15"/>
      <c r="G217" s="15"/>
      <c r="H217" s="15"/>
      <c r="I217" s="15"/>
      <c r="J217" s="12"/>
      <c r="K217" s="12"/>
      <c r="L217" s="12"/>
      <c r="M217" s="12"/>
      <c r="N217" s="15"/>
      <c r="Q217" s="15"/>
      <c r="R217" s="15"/>
      <c r="S217" s="15"/>
      <c r="T217" s="15"/>
      <c r="Z217" s="15"/>
      <c r="AA217" s="15"/>
      <c r="AB217" s="15"/>
      <c r="AC217" s="12"/>
      <c r="AD217" s="12"/>
      <c r="AF217" s="15"/>
      <c r="AG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3:46" ht="11.25" customHeight="1">
      <c r="C218" s="12"/>
      <c r="D218" s="12"/>
      <c r="E218" s="15"/>
      <c r="F218" s="15"/>
      <c r="G218" s="15"/>
      <c r="H218" s="15"/>
      <c r="I218" s="15"/>
      <c r="J218" s="12"/>
      <c r="K218" s="12"/>
      <c r="L218" s="12"/>
      <c r="M218" s="12"/>
      <c r="N218" s="15"/>
      <c r="Q218" s="15"/>
      <c r="R218" s="15"/>
      <c r="S218" s="15"/>
      <c r="T218" s="15"/>
      <c r="Z218" s="15"/>
      <c r="AA218" s="15"/>
      <c r="AB218" s="15"/>
      <c r="AC218" s="12"/>
      <c r="AD218" s="12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3:46" ht="11.25" customHeight="1">
      <c r="C219" s="12"/>
      <c r="D219" s="12"/>
      <c r="E219" s="15"/>
      <c r="F219" s="15"/>
      <c r="G219" s="15"/>
      <c r="H219" s="15"/>
      <c r="I219" s="15"/>
      <c r="J219" s="12"/>
      <c r="K219" s="12"/>
      <c r="L219" s="12"/>
      <c r="M219" s="12"/>
      <c r="N219" s="15"/>
      <c r="Q219" s="15"/>
      <c r="R219" s="15"/>
      <c r="S219" s="15"/>
      <c r="T219" s="15"/>
      <c r="Z219" s="15"/>
      <c r="AA219" s="15"/>
      <c r="AB219" s="15"/>
      <c r="AC219" s="12"/>
      <c r="AD219" s="12"/>
      <c r="AF219" s="15"/>
      <c r="AG219" s="15"/>
      <c r="AH219" s="15"/>
      <c r="AI219" s="15"/>
      <c r="AJ219" s="15"/>
      <c r="AK219" s="15"/>
      <c r="AL219" s="15"/>
      <c r="AM219" s="15"/>
      <c r="AN219" s="15"/>
      <c r="AO219" s="12"/>
      <c r="AP219" s="12"/>
      <c r="AQ219" s="15"/>
      <c r="AR219" s="15"/>
      <c r="AS219" s="15"/>
      <c r="AT219" s="15"/>
    </row>
    <row r="220" spans="4:46" ht="11.25" customHeight="1">
      <c r="D220" s="12"/>
      <c r="E220" s="15"/>
      <c r="F220" s="15"/>
      <c r="G220" s="15"/>
      <c r="H220" s="15"/>
      <c r="I220" s="15"/>
      <c r="J220" s="12"/>
      <c r="K220" s="12"/>
      <c r="L220" s="12"/>
      <c r="M220" s="12"/>
      <c r="N220" s="15"/>
      <c r="Q220" s="15"/>
      <c r="R220" s="15"/>
      <c r="S220" s="15"/>
      <c r="T220" s="15"/>
      <c r="Z220" s="15"/>
      <c r="AA220" s="15"/>
      <c r="AB220" s="15"/>
      <c r="AF220" s="15"/>
      <c r="AG220" s="15"/>
      <c r="AI220" s="15"/>
      <c r="AJ220" s="15"/>
      <c r="AK220" s="15"/>
      <c r="AL220" s="15"/>
      <c r="AM220" s="15"/>
      <c r="AN220" s="15"/>
      <c r="AO220" s="12"/>
      <c r="AP220" s="12"/>
      <c r="AQ220" s="15"/>
      <c r="AR220" s="15"/>
      <c r="AS220" s="15"/>
      <c r="AT220" s="15"/>
    </row>
    <row r="221" spans="4:46" ht="11.25" customHeight="1">
      <c r="D221" s="12"/>
      <c r="E221" s="15"/>
      <c r="F221" s="15"/>
      <c r="G221" s="15"/>
      <c r="H221" s="15"/>
      <c r="I221" s="15"/>
      <c r="J221" s="12"/>
      <c r="K221" s="12"/>
      <c r="L221" s="12"/>
      <c r="M221" s="12"/>
      <c r="N221" s="15"/>
      <c r="Q221" s="15"/>
      <c r="R221" s="15"/>
      <c r="S221" s="15"/>
      <c r="T221" s="15"/>
      <c r="Z221" s="15"/>
      <c r="AA221" s="15"/>
      <c r="AB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2"/>
      <c r="AP221" s="12"/>
      <c r="AQ221" s="12"/>
      <c r="AR221" s="15"/>
      <c r="AS221" s="15"/>
      <c r="AT221" s="15"/>
    </row>
    <row r="222" spans="5:46" ht="11.25" customHeight="1">
      <c r="E222" s="12"/>
      <c r="F222" s="15"/>
      <c r="G222" s="15"/>
      <c r="H222" s="15"/>
      <c r="I222" s="15"/>
      <c r="J222" s="12"/>
      <c r="K222" s="12"/>
      <c r="L222" s="12"/>
      <c r="M222" s="12"/>
      <c r="N222" s="15"/>
      <c r="Q222" s="15"/>
      <c r="R222" s="15"/>
      <c r="S222" s="15"/>
      <c r="T222" s="15"/>
      <c r="Z222" s="15"/>
      <c r="AA222" s="15"/>
      <c r="AB222" s="15"/>
      <c r="AF222" s="15"/>
      <c r="AG222" s="15"/>
      <c r="AH222" s="15"/>
      <c r="AI222" s="15"/>
      <c r="AJ222" s="15"/>
      <c r="AK222" s="12"/>
      <c r="AL222" s="15"/>
      <c r="AM222" s="15"/>
      <c r="AN222" s="15"/>
      <c r="AO222" s="12"/>
      <c r="AP222" s="12"/>
      <c r="AQ222" s="12"/>
      <c r="AR222" s="15"/>
      <c r="AS222" s="15"/>
      <c r="AT222" s="15"/>
    </row>
    <row r="223" spans="5:46" ht="11.25" customHeight="1">
      <c r="E223" s="12"/>
      <c r="F223" s="15"/>
      <c r="G223" s="15"/>
      <c r="H223" s="15"/>
      <c r="I223" s="15"/>
      <c r="J223" s="12"/>
      <c r="K223" s="12"/>
      <c r="L223" s="12"/>
      <c r="M223" s="12"/>
      <c r="N223" s="15"/>
      <c r="Q223" s="15"/>
      <c r="R223" s="15"/>
      <c r="S223" s="15"/>
      <c r="T223" s="15"/>
      <c r="Z223" s="15"/>
      <c r="AA223" s="15"/>
      <c r="AB223" s="15"/>
      <c r="AF223" s="15"/>
      <c r="AG223" s="15"/>
      <c r="AH223" s="15"/>
      <c r="AI223" s="15"/>
      <c r="AJ223" s="15"/>
      <c r="AK223" s="12"/>
      <c r="AL223" s="15"/>
      <c r="AM223" s="15"/>
      <c r="AN223" s="15"/>
      <c r="AO223" s="12"/>
      <c r="AP223" s="12"/>
      <c r="AQ223" s="12"/>
      <c r="AR223" s="15"/>
      <c r="AS223" s="15"/>
      <c r="AT223" s="15"/>
    </row>
    <row r="224" spans="3:46" ht="11.25" customHeight="1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3:46" ht="11.25" customHeight="1">
      <c r="C225" s="15"/>
      <c r="D225" s="15"/>
      <c r="E225" s="15"/>
      <c r="F225" s="15"/>
      <c r="G225" s="15"/>
      <c r="H225" s="15"/>
      <c r="I225" s="15"/>
      <c r="J225" s="12"/>
      <c r="K225" s="12"/>
      <c r="L225" s="12"/>
      <c r="M225" s="12"/>
      <c r="N225" s="15"/>
      <c r="Q225" s="15"/>
      <c r="R225" s="15"/>
      <c r="S225" s="15"/>
      <c r="T225" s="15"/>
      <c r="Z225" s="15"/>
      <c r="AA225" s="15"/>
      <c r="AB225" s="15"/>
      <c r="AC225" s="15"/>
      <c r="AD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3:46" ht="11.2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0:18" ht="11.25" customHeight="1">
      <c r="J227" s="12"/>
      <c r="K227" s="12"/>
      <c r="L227" s="12"/>
      <c r="M227" s="12"/>
      <c r="N227" s="15"/>
      <c r="Q227" s="15"/>
      <c r="R227" s="15"/>
    </row>
    <row r="228" spans="3:46" ht="11.2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5"/>
      <c r="Q228" s="15"/>
      <c r="R228" s="15"/>
      <c r="S228" s="12"/>
      <c r="T228" s="12"/>
      <c r="Z228" s="12"/>
      <c r="AA228" s="12"/>
      <c r="AB228" s="12"/>
      <c r="AC228" s="12"/>
      <c r="AD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0:18" ht="11.25" customHeight="1">
      <c r="J229" s="12"/>
      <c r="K229" s="12"/>
      <c r="L229" s="12"/>
      <c r="M229" s="12"/>
      <c r="N229" s="15"/>
      <c r="Q229" s="15"/>
      <c r="R229" s="15"/>
    </row>
    <row r="230" spans="3:46" ht="11.25" customHeight="1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7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</row>
    <row r="232" spans="3:46" ht="11.25" customHeight="1">
      <c r="C232" s="134">
        <f aca="true" t="shared" si="29" ref="C232:I232">+C117-C189</f>
        <v>0</v>
      </c>
      <c r="D232" s="134">
        <f t="shared" si="29"/>
        <v>0</v>
      </c>
      <c r="E232" s="134">
        <f t="shared" si="29"/>
        <v>0</v>
      </c>
      <c r="F232" s="134">
        <f t="shared" si="29"/>
        <v>0</v>
      </c>
      <c r="G232" s="134">
        <f t="shared" si="29"/>
        <v>0</v>
      </c>
      <c r="H232" s="134">
        <f t="shared" si="29"/>
        <v>0</v>
      </c>
      <c r="I232" s="134">
        <f t="shared" si="29"/>
        <v>0</v>
      </c>
      <c r="J232" s="134"/>
      <c r="K232" s="134"/>
      <c r="L232" s="134"/>
      <c r="M232" s="134"/>
      <c r="N232" s="134"/>
      <c r="O232" s="134"/>
      <c r="P232" s="134"/>
      <c r="Q232" s="134">
        <f>+Q117-Q189</f>
        <v>0</v>
      </c>
      <c r="R232" s="134">
        <f>+R117-R189</f>
        <v>0</v>
      </c>
      <c r="S232" s="134">
        <f>+S117-S189</f>
        <v>0</v>
      </c>
      <c r="T232" s="134">
        <f>+T117-T189</f>
        <v>0</v>
      </c>
      <c r="U232" s="134"/>
      <c r="V232" s="134"/>
      <c r="W232" s="134"/>
      <c r="X232" s="134"/>
      <c r="Y232" s="134"/>
      <c r="Z232" s="134">
        <f>+Z117-Z189</f>
        <v>0</v>
      </c>
      <c r="AA232" s="134">
        <f>+AA117-AA189</f>
        <v>0</v>
      </c>
      <c r="AB232" s="134">
        <f>+AB117-AB189</f>
        <v>0</v>
      </c>
      <c r="AC232" s="134">
        <f>+AC117-AC189</f>
        <v>0</v>
      </c>
      <c r="AD232" s="134">
        <f>+AD117-AD189</f>
        <v>0</v>
      </c>
      <c r="AE232" s="134"/>
      <c r="AF232" s="134">
        <f aca="true" t="shared" si="30" ref="AF232:AT232">+AF117-AF189</f>
        <v>0</v>
      </c>
      <c r="AG232" s="134">
        <f t="shared" si="30"/>
        <v>0</v>
      </c>
      <c r="AH232" s="134">
        <f t="shared" si="30"/>
        <v>0</v>
      </c>
      <c r="AI232" s="134">
        <f t="shared" si="30"/>
        <v>0</v>
      </c>
      <c r="AJ232" s="134">
        <f t="shared" si="30"/>
        <v>0</v>
      </c>
      <c r="AK232" s="134">
        <f t="shared" si="30"/>
        <v>0</v>
      </c>
      <c r="AL232" s="134">
        <f t="shared" si="30"/>
        <v>0</v>
      </c>
      <c r="AM232" s="134">
        <f t="shared" si="30"/>
        <v>0</v>
      </c>
      <c r="AN232" s="134">
        <f t="shared" si="30"/>
        <v>0</v>
      </c>
      <c r="AO232" s="134">
        <f t="shared" si="30"/>
        <v>0</v>
      </c>
      <c r="AP232" s="134">
        <f t="shared" si="30"/>
        <v>0</v>
      </c>
      <c r="AQ232" s="134">
        <f t="shared" si="30"/>
        <v>0</v>
      </c>
      <c r="AR232" s="134">
        <f t="shared" si="30"/>
        <v>0</v>
      </c>
      <c r="AS232" s="134">
        <f t="shared" si="30"/>
        <v>0</v>
      </c>
      <c r="AT232" s="134">
        <f t="shared" si="30"/>
        <v>0</v>
      </c>
    </row>
    <row r="233" spans="3:46" ht="11.25" customHeight="1">
      <c r="C233" s="134">
        <f aca="true" t="shared" si="31" ref="C233:I233">+C230-C166</f>
        <v>0</v>
      </c>
      <c r="D233" s="134">
        <f t="shared" si="31"/>
        <v>0</v>
      </c>
      <c r="E233" s="134">
        <f t="shared" si="31"/>
        <v>0</v>
      </c>
      <c r="F233" s="134">
        <f t="shared" si="31"/>
        <v>0</v>
      </c>
      <c r="G233" s="134">
        <f t="shared" si="31"/>
        <v>0</v>
      </c>
      <c r="H233" s="134">
        <f t="shared" si="31"/>
        <v>0</v>
      </c>
      <c r="I233" s="134">
        <f t="shared" si="31"/>
        <v>0</v>
      </c>
      <c r="J233" s="135"/>
      <c r="K233" s="135"/>
      <c r="L233" s="135"/>
      <c r="M233" s="135"/>
      <c r="N233" s="135"/>
      <c r="O233" s="135"/>
      <c r="P233" s="135"/>
      <c r="Q233" s="134">
        <f>+Q230-Q166</f>
        <v>0</v>
      </c>
      <c r="R233" s="134">
        <f>+R230-R166</f>
        <v>0</v>
      </c>
      <c r="S233" s="134">
        <f>+S230-S166</f>
        <v>0</v>
      </c>
      <c r="T233" s="134">
        <f>+T230-T166</f>
        <v>0</v>
      </c>
      <c r="U233" s="135"/>
      <c r="V233" s="135"/>
      <c r="W233" s="135"/>
      <c r="X233" s="135"/>
      <c r="Y233" s="135"/>
      <c r="Z233" s="134">
        <f>+Z230-Z166</f>
        <v>0</v>
      </c>
      <c r="AA233" s="134">
        <f>+AA230-AA166</f>
        <v>0</v>
      </c>
      <c r="AB233" s="134">
        <f>+AB230-AB166</f>
        <v>0</v>
      </c>
      <c r="AC233" s="134">
        <f>+AC230-AC166</f>
        <v>0</v>
      </c>
      <c r="AD233" s="134">
        <f>+AD230-AD166</f>
        <v>0</v>
      </c>
      <c r="AE233" s="135"/>
      <c r="AF233" s="134">
        <f aca="true" t="shared" si="32" ref="AF233:AT233">+AF230-AF166</f>
        <v>0</v>
      </c>
      <c r="AG233" s="134">
        <f t="shared" si="32"/>
        <v>0</v>
      </c>
      <c r="AH233" s="134">
        <f t="shared" si="32"/>
        <v>0</v>
      </c>
      <c r="AI233" s="134">
        <f t="shared" si="32"/>
        <v>0</v>
      </c>
      <c r="AJ233" s="134">
        <f t="shared" si="32"/>
        <v>0</v>
      </c>
      <c r="AK233" s="134">
        <f t="shared" si="32"/>
        <v>0</v>
      </c>
      <c r="AL233" s="134">
        <f t="shared" si="32"/>
        <v>0</v>
      </c>
      <c r="AM233" s="134">
        <f t="shared" si="32"/>
        <v>0</v>
      </c>
      <c r="AN233" s="134">
        <f t="shared" si="32"/>
        <v>0</v>
      </c>
      <c r="AO233" s="134">
        <f t="shared" si="32"/>
        <v>0</v>
      </c>
      <c r="AP233" s="134">
        <f t="shared" si="32"/>
        <v>0</v>
      </c>
      <c r="AQ233" s="134">
        <f t="shared" si="32"/>
        <v>0</v>
      </c>
      <c r="AR233" s="134">
        <f t="shared" si="32"/>
        <v>0</v>
      </c>
      <c r="AS233" s="134">
        <f t="shared" si="32"/>
        <v>0</v>
      </c>
      <c r="AT233" s="134">
        <f t="shared" si="32"/>
        <v>0</v>
      </c>
    </row>
  </sheetData>
  <sheetProtection/>
  <mergeCells count="29">
    <mergeCell ref="AE1:AE3"/>
    <mergeCell ref="AF1:AF3"/>
    <mergeCell ref="AV1:AV3"/>
    <mergeCell ref="AN1:AQ1"/>
    <mergeCell ref="AR1:AS1"/>
    <mergeCell ref="AG1:AG2"/>
    <mergeCell ref="AT1:AT3"/>
    <mergeCell ref="AJ1:AJ3"/>
    <mergeCell ref="AK1:AM1"/>
    <mergeCell ref="AH1:AI1"/>
    <mergeCell ref="AR4:AS4"/>
    <mergeCell ref="J4:P4"/>
    <mergeCell ref="U4:Y4"/>
    <mergeCell ref="Q4:T4"/>
    <mergeCell ref="Z4:AB4"/>
    <mergeCell ref="AN4:AQ4"/>
    <mergeCell ref="AC4:AD4"/>
    <mergeCell ref="U1:Y1"/>
    <mergeCell ref="J1:P1"/>
    <mergeCell ref="C4:E4"/>
    <mergeCell ref="AK4:AM4"/>
    <mergeCell ref="G4:I4"/>
    <mergeCell ref="Q1:T1"/>
    <mergeCell ref="Z1:AB1"/>
    <mergeCell ref="G1:I1"/>
    <mergeCell ref="AH4:AI4"/>
    <mergeCell ref="F1:F3"/>
    <mergeCell ref="AC1:AD1"/>
    <mergeCell ref="C1:E1"/>
  </mergeCells>
  <printOptions/>
  <pageMargins left="0.4724409448818898" right="0.2755905511811024" top="0.984251968503937" bottom="0" header="0.2362204724409449" footer="0.11811023622047245"/>
  <pageSetup firstPageNumber="47" useFirstPageNumber="1" horizontalDpi="600" verticalDpi="600" orientation="portrait" paperSize="9" r:id="rId1"/>
  <headerFooter alignWithMargins="0">
    <oddHeader>&amp;C&amp;"Times New Roman,Bold"&amp;12 5.1. SÉREIGNARDEILDIR
YFIRLIT, EFNAHAGSREIKNINGAR OG SJÓÐSTREYMI ÁRIÐ 2006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Heiða Björk Jósefsdóttir</dc:creator>
  <cp:keywords/>
  <dc:description/>
  <cp:lastModifiedBy>Arnar Jón Sigurgeirsson</cp:lastModifiedBy>
  <cp:lastPrinted>2009-07-10T09:02:47Z</cp:lastPrinted>
  <dcterms:created xsi:type="dcterms:W3CDTF">2007-07-24T18:31:15Z</dcterms:created>
  <dcterms:modified xsi:type="dcterms:W3CDTF">2012-03-16T14:28:15Z</dcterms:modified>
  <cp:category/>
  <cp:version/>
  <cp:contentType/>
  <cp:contentStatus/>
</cp:coreProperties>
</file>